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3"/>
  <workbookPr codeName="ThisWorkbook"/>
  <mc:AlternateContent xmlns:mc="http://schemas.openxmlformats.org/markup-compatibility/2006">
    <mc:Choice Requires="x15">
      <x15ac:absPath xmlns:x15ac="http://schemas.microsoft.com/office/spreadsheetml/2010/11/ac" url="C:\Users\ITTO PC\Desktop\ガイド\"/>
    </mc:Choice>
  </mc:AlternateContent>
  <xr:revisionPtr revIDLastSave="0" documentId="13_ncr:1_{2A96B6E4-7562-4F81-8E5F-30D714113725}" xr6:coauthVersionLast="36" xr6:coauthVersionMax="36" xr10:uidLastSave="{00000000-0000-0000-0000-000000000000}"/>
  <bookViews>
    <workbookView xWindow="0" yWindow="0" windowWidth="23040" windowHeight="8730" tabRatio="891" firstSheet="5" activeTab="5" xr2:uid="{00000000-000D-0000-FFFF-FFFF00000000}"/>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エンティティ一覧" sheetId="25" r:id="rId6"/>
    <sheet name="バックアップ_処方データ_組入れ第一条件" sheetId="332" r:id="rId7"/>
    <sheet name="バックアップ_患者マスタ_組入れ第一条件" sheetId="331" r:id="rId8"/>
    <sheet name="バックアップ_処方データ" sheetId="236" r:id="rId9"/>
    <sheet name="バックアップ_診療行為データ" sheetId="237" r:id="rId10"/>
    <sheet name="バックアップ_疾患データ" sheetId="238" r:id="rId11"/>
    <sheet name="バックアップ_疾患診療科データ" sheetId="239" r:id="rId12"/>
    <sheet name="バックアップ_入院退院データ" sheetId="240" r:id="rId13"/>
    <sheet name="バックアップ_二次利用DB登録患者データ" sheetId="241" r:id="rId14"/>
    <sheet name="バックアップ_二次利用DB登録患者データ_DPC" sheetId="242" r:id="rId15"/>
    <sheet name="バックアップ_二次利用DB登録患者データ_レセプト" sheetId="243" r:id="rId16"/>
    <sheet name="バックアップ_二次利用DB登録患者データ_MML" sheetId="244" r:id="rId17"/>
    <sheet name="バックアップ_二次利用DB登録患者紐付けデータ" sheetId="245" r:id="rId18"/>
    <sheet name="バックアップ_エラー患者データ" sheetId="247" r:id="rId19"/>
    <sheet name="バックアップ_患者基本データ" sheetId="248" r:id="rId20"/>
    <sheet name="バックアップ_施設属性マスタ取込用" sheetId="249" r:id="rId21"/>
    <sheet name="バックアップ_二次医療圏マスタ取込用" sheetId="250" r:id="rId22"/>
    <sheet name="バックアップ_新旧医薬品コードマスタ取込用" sheetId="251" r:id="rId23"/>
    <sheet name="バックアップ_DPC6ICD10対応表マスタ取込用" sheetId="252" r:id="rId24"/>
    <sheet name="バックアップ_修飾語マスタ取込用" sheetId="253" r:id="rId25"/>
    <sheet name="バックアップ_コメントマスタ取込用" sheetId="254" r:id="rId26"/>
    <sheet name="バックアップ_成分量マスタ取込用" sheetId="255" r:id="rId27"/>
    <sheet name="バックアップ_成分名マスタ取込用" sheetId="256" r:id="rId28"/>
    <sheet name="バックアップ_単位マスタ取込用" sheetId="257" r:id="rId29"/>
    <sheet name="バックアップ_適応病名レセ病名組み合わせ関係リンクマスタ取込用" sheetId="258" r:id="rId30"/>
    <sheet name="BK_適応病名レセ病名組み合わせ関係リンク親子マスタ取込用" sheetId="259" r:id="rId31"/>
    <sheet name="バックアップ_適用病名マスタ取込用" sheetId="260" r:id="rId32"/>
    <sheet name="バックアップ_ＹＪコード医薬品コードリンクマスタ取込用" sheetId="261" r:id="rId33"/>
    <sheet name="バックアップ_診療行為付加情報マスタ取込用" sheetId="262" r:id="rId34"/>
    <sheet name="バックアップ_処理対象施設マスタ" sheetId="263" r:id="rId35"/>
    <sheet name="バックアップ_処理対象施設マスタ管理" sheetId="264" r:id="rId36"/>
    <sheet name="バックアップ_医薬品マスタ" sheetId="311" r:id="rId37"/>
    <sheet name="バックアップ_医薬品ブランドマスタ" sheetId="312" r:id="rId38"/>
    <sheet name="バックアップ_医薬品一般名マスタ" sheetId="313" r:id="rId39"/>
    <sheet name="バックアップ_医薬品販売会社マスタ" sheetId="314" r:id="rId40"/>
    <sheet name="バックアップ_メーカマスタ" sheetId="315" r:id="rId41"/>
    <sheet name="バックアップ_薬価マスタ" sheetId="316" r:id="rId42"/>
    <sheet name="バックアップ_薬効ATC分類1マスタ" sheetId="317" r:id="rId43"/>
    <sheet name="バックアップ_薬効ATC分類2マスタ" sheetId="318" r:id="rId44"/>
    <sheet name="バックアップ_薬効ATC分類3マスタ" sheetId="319" r:id="rId45"/>
    <sheet name="バックアップ_薬効ATC分類4マスタ" sheetId="320" r:id="rId46"/>
    <sheet name="バックアップ_薬効ATC分類5マスタ" sheetId="321" r:id="rId47"/>
    <sheet name="バックアップ_疾病マスタ" sheetId="322" r:id="rId48"/>
    <sheet name="バックアップ_ICD10大分類マスタ" sheetId="323" r:id="rId49"/>
    <sheet name="バックアップ_ICD10中分類マスタ" sheetId="324" r:id="rId50"/>
    <sheet name="バックアップ_ICD10小分類マスタ" sheetId="325" r:id="rId51"/>
    <sheet name="バックアップ_ICD10細分類マスタ" sheetId="326" r:id="rId52"/>
    <sheet name="バックアップ_DPC2桁マスタ" sheetId="327" r:id="rId53"/>
    <sheet name="バックアップ_DPC6桁マスタ" sheetId="328" r:id="rId54"/>
    <sheet name="バックアップ_郵便番号マスタ" sheetId="329" r:id="rId55"/>
    <sheet name="バックアップ_特定機材マスタ" sheetId="330" r:id="rId56"/>
    <sheet name="バックアップ_年度マスタ" sheetId="265" r:id="rId57"/>
    <sheet name="バックアップ_都道府県地方コードマスタ" sheetId="266" r:id="rId58"/>
    <sheet name="バックアップ_施設属性マスタ" sheetId="267" r:id="rId59"/>
    <sheet name="バックアップ_二次医療圏マスタ" sheetId="268" r:id="rId60"/>
    <sheet name="バックアップ_施設ID対応マスタ" sheetId="269" r:id="rId61"/>
    <sheet name="バックアップ_医薬品関連マスタ" sheetId="271" r:id="rId62"/>
    <sheet name="バックアップ_薬価関連マスタ" sheetId="272" r:id="rId63"/>
    <sheet name="バックアップ_診療行為関連マスタ" sheetId="273" r:id="rId64"/>
    <sheet name="バックアップ_特定器材関連マスタ" sheetId="274" r:id="rId65"/>
    <sheet name="バックアップ_DPC関連マスタ" sheetId="275" r:id="rId66"/>
    <sheet name="バックアップ_疾患関連マスタ" sheetId="276" r:id="rId67"/>
    <sheet name="バックアップ_医薬品成分関連マスタ" sheetId="277" r:id="rId68"/>
    <sheet name="バックアップ_医薬品適用病名関連マスタ" sheetId="278" r:id="rId69"/>
    <sheet name="バックアップ_MML共通" sheetId="309" r:id="rId70"/>
    <sheet name="バックアップ_MML_診断履歴情報モジュール_本文" sheetId="279" r:id="rId71"/>
    <sheet name="バックアップ_MML_診断履歴情報モジュール_病名" sheetId="280" r:id="rId72"/>
    <sheet name="バックアップ_MML_診断履歴情報モジュール_カテゴリ名" sheetId="281" r:id="rId73"/>
    <sheet name="バックアップ_MML_処方箋モジュール_本文" sheetId="282" r:id="rId74"/>
    <sheet name="バックアップ_MML_処方箋モジュール_投薬" sheetId="283" r:id="rId75"/>
    <sheet name="バックアップ_MML_処方箋モジュール_薬剤" sheetId="284" r:id="rId76"/>
    <sheet name="バックアップ_MML_注射記録モジュール_本文" sheetId="285" r:id="rId77"/>
    <sheet name="バックアップ_MML_注射記録モジュール_投薬" sheetId="286" r:id="rId78"/>
    <sheet name="バックアップ_MML_注射記録モジュール_薬剤" sheetId="287" r:id="rId79"/>
    <sheet name="バックアップ_MML_手術モジュール_手術項目" sheetId="288" r:id="rId80"/>
    <sheet name="バックアップ_MML_手術モジュール_診療科情報" sheetId="289" r:id="rId81"/>
    <sheet name="バックアップ_MML_手術モジュール_診断履歴情報" sheetId="290" r:id="rId82"/>
    <sheet name="バックアップ_MML_手術モジュール_病名" sheetId="291" r:id="rId83"/>
    <sheet name="バックアップ_MML_手術モジュール_カテゴリ名" sheetId="292" r:id="rId84"/>
    <sheet name="バックアップ_MML_手術モジュール_手術法" sheetId="293" r:id="rId85"/>
    <sheet name="バックアップ_MML_手術モジュール_手術要素" sheetId="294" r:id="rId86"/>
    <sheet name="バックアップ_MML_手術モジュール_麻酔法" sheetId="295" r:id="rId87"/>
    <sheet name="バックアップ_MML_報告書情報モジュール_本文" sheetId="296" r:id="rId88"/>
    <sheet name="バックアップ_MML_報告書情報モジュール_検査コメント" sheetId="297" r:id="rId89"/>
    <sheet name="バックアップ_MML_生活習慣情報モジュール_本文" sheetId="310" r:id="rId90"/>
    <sheet name="バックアップ_MML_紹介状モジュール_本文" sheetId="298" r:id="rId91"/>
    <sheet name="バックアップ_MML_紹介状モジュール_注射記録" sheetId="299" r:id="rId92"/>
    <sheet name="バックアップ_MML_紹介状モジュール_注射記録投薬" sheetId="300" r:id="rId93"/>
    <sheet name="バックアップ_MML_紹介状モジュール_注射記録薬剤" sheetId="301" r:id="rId94"/>
    <sheet name="バックアップ_MML_紹介状モジュール_患者情報" sheetId="302" r:id="rId95"/>
    <sheet name="バックアップ_MML_紹介状モジュール_患者情報住所" sheetId="303" r:id="rId96"/>
    <sheet name="バックアップ_MML_紹介状モジュール_処方箋" sheetId="304" r:id="rId97"/>
    <sheet name="バックアップ_MML_紹介状モジュール_処方箋投薬" sheetId="305" r:id="rId98"/>
    <sheet name="バックアップ_MML_紹介状モジュール_処方箋薬剤" sheetId="306" r:id="rId99"/>
    <sheet name="BK_MML_紹介状モジュール_臨床サマリー情報経過記録" sheetId="307" r:id="rId100"/>
    <sheet name="バックアップ_MML_紹介状モジュール_診療科情報" sheetId="308" r:id="rId101"/>
    <sheet name="バックアップ_DPC調査データ_Dファイル" sheetId="172" r:id="rId102"/>
    <sheet name="バックアップ_DPC調査データ_入院EF統合ファイル" sheetId="179" r:id="rId103"/>
    <sheet name="バックアップ_DPC調査データ_外来EF統合ファイル" sheetId="181" r:id="rId104"/>
    <sheet name="バックアップ_DPC調査データ_Hファイル" sheetId="182" r:id="rId105"/>
    <sheet name="バックアップ_DPC調査データ_様式1" sheetId="185" r:id="rId106"/>
    <sheet name="バックアップ_DPC調査データ_様式1_診断情報_併存症" sheetId="186" r:id="rId107"/>
    <sheet name="バックアップ_DPC調査データ_様式1_診断情報_続発症" sheetId="187" r:id="rId108"/>
    <sheet name="バックアップ_医科レセプト_医療機関情報レコード" sheetId="197" r:id="rId109"/>
    <sheet name="バックアップ_医科レセプト_レセプト共通レコード" sheetId="198" r:id="rId110"/>
    <sheet name="バックアップ_医科レセプト_傷病名レコード" sheetId="199" r:id="rId111"/>
    <sheet name="バックアップ_医科レセプト_診療行為レコード" sheetId="200" r:id="rId112"/>
    <sheet name="バックアップ_医科レセプト_診療行為レコード_算定日情報" sheetId="201" r:id="rId113"/>
    <sheet name="バックアップ_医科レセプト_医薬品レコード" sheetId="202" r:id="rId114"/>
    <sheet name="バックアップ_医科レセプト_医薬品レコード_算定日情報" sheetId="203" r:id="rId115"/>
    <sheet name="バックアップ_医科レセプト_臓器提供者レセプト情報レコード" sheetId="204" r:id="rId116"/>
    <sheet name="バックアップ_DPCレセプト_医療機関情報レコード" sheetId="205" r:id="rId117"/>
    <sheet name="バックアップ_DPCレセプト_レセプト共通レコード" sheetId="206" r:id="rId118"/>
    <sheet name="バックアップ_DPCレセプト_診断群分類レコード" sheetId="207" r:id="rId119"/>
    <sheet name="バックアップ_DPCレセプト_傷病レコード" sheetId="208" r:id="rId120"/>
    <sheet name="バックアップ_DPCレセプト_傷病名レコード" sheetId="209" r:id="rId121"/>
    <sheet name="バックアップ_DPCレセプト_診療行為レコード" sheetId="210" r:id="rId122"/>
    <sheet name="バックアップ_DPCレセプト_診療行為レコード_算定日情報" sheetId="211" r:id="rId123"/>
    <sheet name="バックアップ_DPCレセプト_医薬品レコード" sheetId="212" r:id="rId124"/>
    <sheet name="バックアップ_DPCレセプト_医薬品レコード_算定日情報" sheetId="213" r:id="rId125"/>
    <sheet name="バックアップ_DPCレセプト_臓器提供者レセプト情報レコード" sheetId="214" r:id="rId126"/>
    <sheet name="バックアップ_患者情報モジュール_患者情報" sheetId="215" r:id="rId127"/>
    <sheet name="バックアップ_診断履歴情報モジュール_診断履歴情報レコード" sheetId="216" r:id="rId128"/>
    <sheet name="バックアップ_診断履歴情報モジュール_診断病名レコード" sheetId="217" r:id="rId129"/>
    <sheet name="バックアップ_診断履歴情報モジュール_診断分類レコード" sheetId="218" r:id="rId130"/>
    <sheet name="バックアップ_経過記録情報モジュール_経過記録情報レコード" sheetId="219" r:id="rId131"/>
    <sheet name="バックアップ_経過記録情報モジュール_プロブレムレコード" sheetId="220" r:id="rId132"/>
    <sheet name="バックアップ_経過記録情報モジュール_身体所見レコード" sheetId="221" r:id="rId133"/>
    <sheet name="バックアップ_経過記録情報モジュール_アセスメントレコード" sheetId="222" r:id="rId134"/>
    <sheet name="バックアップ_経過記録情報モジュール_外部参照レコード" sheetId="223" r:id="rId135"/>
    <sheet name="バックアップ_臨床サマリーモジュール_臨床サマリー情報レコード" sheetId="224" r:id="rId136"/>
    <sheet name="バックアップ_臨床サマリーモジュール_外来受診レコード" sheetId="225" r:id="rId137"/>
    <sheet name="バックアップ_臨床サマリーモジュール_入院レコード" sheetId="226" r:id="rId138"/>
    <sheet name="バックアップ_臨床サマリーモジュール_経過記録レコード" sheetId="227" r:id="rId139"/>
    <sheet name="バックアップ_臨床サマリーモジュール_検査結果レコード" sheetId="228" r:id="rId140"/>
    <sheet name="バックアップ_検歴情報モジュール_検歴情報" sheetId="229" r:id="rId141"/>
    <sheet name="バックアップ_検歴情報モジュール_検歴検体材料" sheetId="230" r:id="rId142"/>
    <sheet name="バックアップ_検歴情報モジュール_検歴項目情報" sheetId="231" r:id="rId143"/>
    <sheet name="バックアップ_バイタルサインモジュール_バイタルサイン" sheetId="232" r:id="rId144"/>
    <sheet name="バックアップ_バイタルサインモジュール_記録項目" sheetId="233" r:id="rId145"/>
    <sheet name="バックアップ_体温表モジュール_バイタルサイン" sheetId="234" r:id="rId146"/>
    <sheet name="バックアップ_体温表モジュール_記録項目" sheetId="235" r:id="rId147"/>
    <sheet name="組入れ_対象施設" sheetId="358" r:id="rId148"/>
    <sheet name="組入れ_対象処方" sheetId="189" r:id="rId149"/>
    <sheet name="組入れ_対象患者" sheetId="188" r:id="rId150"/>
    <sheet name="患者マスタ" sheetId="190" r:id="rId151"/>
    <sheet name="疾患マスタ" sheetId="191" r:id="rId152"/>
    <sheet name="ベース_処方データ" sheetId="348" r:id="rId153"/>
    <sheet name="ベース_診療行為データ" sheetId="349" r:id="rId154"/>
    <sheet name="ベース_入院退院データ" sheetId="350" r:id="rId155"/>
    <sheet name="ベース_患者基本データ" sheetId="351" r:id="rId156"/>
    <sheet name="ベース_MML共通" sheetId="352" r:id="rId157"/>
    <sheet name="ベース_MML_診断履歴情報モジュール_本文" sheetId="353" r:id="rId158"/>
    <sheet name="ベース_MML_診断履歴情報モジュール_病名" sheetId="354" r:id="rId159"/>
    <sheet name="ベース_MML_処方箋モジュール_本文" sheetId="355" r:id="rId160"/>
    <sheet name="ベース_MML_処方箋モジュール_投薬" sheetId="356" r:id="rId161"/>
    <sheet name="ベース_MML_処方箋モジュール_薬剤" sheetId="357" r:id="rId162"/>
    <sheet name="ベース_DPC調査データ_入院EF統合ファイル" sheetId="192" r:id="rId163"/>
    <sheet name="ベース_DPC調査データ_外来EF統合ファイル" sheetId="193" r:id="rId164"/>
    <sheet name="ベース_DPC調査データ_様式1" sheetId="194" r:id="rId165"/>
    <sheet name="ベース_DPC調査データ_様式1_診断情報_併存症" sheetId="195" r:id="rId166"/>
    <sheet name="ベース_DPC調査データ_様式1_診断情報_続発症" sheetId="196" r:id="rId167"/>
    <sheet name="ベース_診断履歴情報モジュール_診断履歴情報レコード" sheetId="333" r:id="rId168"/>
    <sheet name="ベース_診断履歴情報モジュール_診断病名レコード" sheetId="334" r:id="rId169"/>
    <sheet name="ベース_経過記録情報モジュール_経過記録情報レコード" sheetId="335" r:id="rId170"/>
    <sheet name="ベース_経過記録情報モジュール_プロブレムレコード" sheetId="336" r:id="rId171"/>
    <sheet name="ベース_経過記録情報モジュール_身体所見レコード" sheetId="337" r:id="rId172"/>
    <sheet name="ベース_経過記録情報モジュール_アセスメントレコード" sheetId="338" r:id="rId173"/>
    <sheet name="ベース_経過記録情報モジュール_外部参照レコード" sheetId="339" r:id="rId174"/>
    <sheet name="ベース_臨床サマリーモジュール_臨床サマリー情報レコード" sheetId="340" r:id="rId175"/>
    <sheet name="ベース_臨床サマリーモジュール_外来受診レコード" sheetId="341" r:id="rId176"/>
    <sheet name="ベース_臨床サマリーモジュール_入院レコード" sheetId="342" r:id="rId177"/>
    <sheet name="ベース_臨床サマリーモジュール_経過記録レコード" sheetId="343" r:id="rId178"/>
    <sheet name="ベース_臨床サマリーモジュール_検査結果レコード" sheetId="344" r:id="rId179"/>
    <sheet name="ベース_検歴情報モジュール_検歴情報" sheetId="345" r:id="rId180"/>
    <sheet name="ベース_検歴情報モジュール_検歴検体材料" sheetId="346" r:id="rId181"/>
    <sheet name="ベース_検歴情報モジュール_検歴項目情報" sheetId="347" r:id="rId182"/>
  </sheets>
  <definedNames>
    <definedName name="_xlnm._FilterDatabase" localSheetId="5" hidden="1">エンティティ一覧!$A$4:$BT$4</definedName>
    <definedName name="_xlnm.Print_Titles" localSheetId="5">エンティティ一覧!$4:$5</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3" i="189" l="1"/>
  <c r="T13" i="189"/>
  <c r="S13" i="189"/>
  <c r="R13" i="189"/>
  <c r="G13" i="189"/>
  <c r="Q13" i="189" s="1"/>
  <c r="B13" i="189"/>
  <c r="P13" i="189" s="1"/>
  <c r="AJ14" i="189"/>
  <c r="T14" i="189"/>
  <c r="S14" i="189"/>
  <c r="R14" i="189"/>
  <c r="G14" i="189"/>
  <c r="Q14" i="189" s="1"/>
  <c r="B14" i="189"/>
  <c r="P14" i="189" s="1"/>
  <c r="D8" i="358"/>
  <c r="AJ13" i="358"/>
  <c r="T13" i="358"/>
  <c r="S13" i="358"/>
  <c r="R13" i="358"/>
  <c r="G13" i="358"/>
  <c r="Q13" i="358" s="1"/>
  <c r="B13" i="358"/>
  <c r="P13" i="358" s="1"/>
  <c r="AJ15" i="358"/>
  <c r="T15" i="358"/>
  <c r="S15" i="358"/>
  <c r="R15" i="358"/>
  <c r="G15" i="358"/>
  <c r="Q15" i="358" s="1"/>
  <c r="B15" i="358"/>
  <c r="P15" i="358" s="1"/>
  <c r="AJ14" i="358"/>
  <c r="T14" i="358"/>
  <c r="S14" i="358"/>
  <c r="R14" i="358"/>
  <c r="G14" i="358"/>
  <c r="Q14" i="358" s="1"/>
  <c r="B14" i="358"/>
  <c r="P14" i="358" s="1"/>
  <c r="AJ18" i="358"/>
  <c r="T18" i="358"/>
  <c r="S18" i="358"/>
  <c r="R18" i="358"/>
  <c r="G18" i="358"/>
  <c r="Q18" i="358" s="1"/>
  <c r="B18" i="358"/>
  <c r="P18" i="358" s="1"/>
  <c r="AJ17" i="358"/>
  <c r="T17" i="358"/>
  <c r="S17" i="358"/>
  <c r="R17" i="358"/>
  <c r="G17" i="358"/>
  <c r="Q17" i="358" s="1"/>
  <c r="B17" i="358"/>
  <c r="P17" i="358" s="1"/>
  <c r="AJ16" i="358"/>
  <c r="T16" i="358"/>
  <c r="S16" i="358"/>
  <c r="R16" i="358"/>
  <c r="G16" i="358"/>
  <c r="Q16" i="358" s="1"/>
  <c r="B16" i="358"/>
  <c r="P16" i="358" s="1"/>
  <c r="D6" i="358"/>
  <c r="D5" i="358"/>
  <c r="D4" i="358"/>
  <c r="AS15" i="358" l="1"/>
  <c r="AS13" i="358"/>
  <c r="AS14" i="358"/>
  <c r="AS18" i="358"/>
  <c r="N10" i="358"/>
  <c r="AS17" i="358"/>
  <c r="N11" i="358"/>
  <c r="AJ10" i="358"/>
  <c r="AS16" i="358"/>
  <c r="AS12" i="358"/>
  <c r="AJ11" i="358"/>
  <c r="AS10" i="358"/>
  <c r="E43" i="176" l="1"/>
  <c r="C5" i="176"/>
  <c r="C17" i="176"/>
  <c r="E19" i="176"/>
  <c r="B148" i="25"/>
  <c r="O148" i="25" s="1"/>
  <c r="BK148" i="25" s="1"/>
  <c r="A148" i="25"/>
  <c r="AM148" i="25"/>
  <c r="R355" i="178" l="1"/>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W291" i="178"/>
  <c r="R283" i="178"/>
  <c r="C281" i="178" s="1"/>
  <c r="W281" i="178" s="1"/>
  <c r="W279" i="178"/>
  <c r="C340" i="178" l="1"/>
  <c r="W340" i="178" s="1"/>
  <c r="C316" i="178"/>
  <c r="W316" i="178" s="1"/>
  <c r="C352" i="178"/>
  <c r="W352" i="178" s="1"/>
  <c r="C328" i="178"/>
  <c r="W328" i="178" s="1"/>
  <c r="C304" i="178"/>
  <c r="W304" i="178" s="1"/>
  <c r="C292" i="178"/>
  <c r="W292" i="178" s="1"/>
  <c r="C280" i="178"/>
  <c r="W280" i="178" s="1"/>
  <c r="R271" i="178"/>
  <c r="C269" i="178" s="1"/>
  <c r="W269" i="178" s="1"/>
  <c r="W267" i="178"/>
  <c r="R259" i="178"/>
  <c r="C257" i="178" s="1"/>
  <c r="W257" i="178" s="1"/>
  <c r="W255" i="178"/>
  <c r="R247" i="178"/>
  <c r="C245" i="178" s="1"/>
  <c r="W245" i="178" s="1"/>
  <c r="W243" i="178"/>
  <c r="R235" i="178"/>
  <c r="C233" i="178" s="1"/>
  <c r="W233" i="178" s="1"/>
  <c r="C232" i="178"/>
  <c r="W232" i="178" s="1"/>
  <c r="W231" i="178"/>
  <c r="R223" i="178"/>
  <c r="C221" i="178" s="1"/>
  <c r="W221" i="178" s="1"/>
  <c r="W219" i="178"/>
  <c r="R211" i="178"/>
  <c r="C209" i="178" s="1"/>
  <c r="W209" i="178" s="1"/>
  <c r="C208" i="178"/>
  <c r="W208" i="178" s="1"/>
  <c r="W207" i="178"/>
  <c r="R199" i="178"/>
  <c r="C197" i="178" s="1"/>
  <c r="W197" i="178" s="1"/>
  <c r="W195" i="178"/>
  <c r="R187" i="178"/>
  <c r="C185" i="178" s="1"/>
  <c r="W185" i="178" s="1"/>
  <c r="W183" i="178"/>
  <c r="R115" i="178"/>
  <c r="C113" i="178" s="1"/>
  <c r="W113" i="178" s="1"/>
  <c r="W111" i="178"/>
  <c r="R103" i="178"/>
  <c r="C101" i="178" s="1"/>
  <c r="W101" i="178" s="1"/>
  <c r="C100" i="178"/>
  <c r="W100" i="178" s="1"/>
  <c r="W99" i="178"/>
  <c r="R91" i="178"/>
  <c r="C89" i="178" s="1"/>
  <c r="W89" i="178" s="1"/>
  <c r="W87" i="178"/>
  <c r="R79" i="178"/>
  <c r="C77" i="178" s="1"/>
  <c r="W77" i="178" s="1"/>
  <c r="W75" i="178"/>
  <c r="R67" i="178"/>
  <c r="C64" i="178" s="1"/>
  <c r="W64" i="178" s="1"/>
  <c r="W63" i="178"/>
  <c r="R55" i="178"/>
  <c r="C53" i="178" s="1"/>
  <c r="W53" i="178" s="1"/>
  <c r="W51" i="178"/>
  <c r="R43" i="178"/>
  <c r="C41" i="178" s="1"/>
  <c r="W41" i="178" s="1"/>
  <c r="W39" i="178"/>
  <c r="R31" i="178"/>
  <c r="C29" i="178" s="1"/>
  <c r="W29" i="178" s="1"/>
  <c r="C28" i="178"/>
  <c r="W28" i="178" s="1"/>
  <c r="W27" i="178"/>
  <c r="R19" i="178"/>
  <c r="C17" i="178"/>
  <c r="W17" i="178" s="1"/>
  <c r="C16" i="178"/>
  <c r="W16" i="178" s="1"/>
  <c r="W15" i="178"/>
  <c r="R7" i="178"/>
  <c r="C4" i="178" s="1"/>
  <c r="W4" i="178" s="1"/>
  <c r="W3" i="178"/>
  <c r="C40" i="178" l="1"/>
  <c r="W40" i="178" s="1"/>
  <c r="C184" i="178"/>
  <c r="W184" i="178" s="1"/>
  <c r="C268" i="178"/>
  <c r="W268" i="178" s="1"/>
  <c r="C256" i="178"/>
  <c r="W256" i="178" s="1"/>
  <c r="C244" i="178"/>
  <c r="W244" i="178" s="1"/>
  <c r="C220" i="178"/>
  <c r="W220" i="178" s="1"/>
  <c r="C196" i="178"/>
  <c r="W196" i="178" s="1"/>
  <c r="C112" i="178"/>
  <c r="W112" i="178" s="1"/>
  <c r="C88" i="178"/>
  <c r="W88" i="178" s="1"/>
  <c r="C76" i="178"/>
  <c r="W76" i="178" s="1"/>
  <c r="C65" i="178"/>
  <c r="W65" i="178" s="1"/>
  <c r="C52" i="178"/>
  <c r="W52" i="178" s="1"/>
  <c r="C5" i="178"/>
  <c r="W5" i="178" s="1"/>
  <c r="W23" i="177"/>
  <c r="E25" i="177"/>
  <c r="C22" i="177"/>
  <c r="W22" i="177" s="1"/>
  <c r="T25" i="177"/>
  <c r="W21" i="177"/>
  <c r="C4" i="177"/>
  <c r="C5" i="177"/>
  <c r="E13" i="177"/>
  <c r="T7" i="177"/>
  <c r="B101" i="25" l="1"/>
  <c r="B6" i="25"/>
  <c r="D9" i="357" l="1"/>
  <c r="AJ21" i="357"/>
  <c r="T21" i="357"/>
  <c r="S21" i="357"/>
  <c r="R21" i="357"/>
  <c r="G21" i="357"/>
  <c r="Q21" i="357" s="1"/>
  <c r="B21" i="357"/>
  <c r="P21" i="357" s="1"/>
  <c r="AJ20" i="357"/>
  <c r="T20" i="357"/>
  <c r="S20" i="357"/>
  <c r="R20" i="357"/>
  <c r="G20" i="357"/>
  <c r="Q20" i="357" s="1"/>
  <c r="B20" i="357"/>
  <c r="P20" i="357" s="1"/>
  <c r="AJ19" i="357"/>
  <c r="T19" i="357"/>
  <c r="S19" i="357"/>
  <c r="R19" i="357"/>
  <c r="G19" i="357"/>
  <c r="Q19" i="357" s="1"/>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G15" i="357"/>
  <c r="Q15" i="357" s="1"/>
  <c r="B15" i="357"/>
  <c r="P15" i="357" s="1"/>
  <c r="AJ14" i="357"/>
  <c r="T14" i="357"/>
  <c r="S14" i="357"/>
  <c r="R14" i="357"/>
  <c r="G14" i="357"/>
  <c r="Q14" i="357" s="1"/>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P32" i="356"/>
  <c r="G32" i="356"/>
  <c r="Q32" i="356" s="1"/>
  <c r="B32" i="356"/>
  <c r="AJ31" i="356"/>
  <c r="T31" i="356"/>
  <c r="S31" i="356"/>
  <c r="R31" i="356"/>
  <c r="G31" i="356"/>
  <c r="Q31" i="356" s="1"/>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G28" i="356"/>
  <c r="Q28" i="356" s="1"/>
  <c r="B28" i="356"/>
  <c r="P28" i="356" s="1"/>
  <c r="AJ27" i="356"/>
  <c r="T27" i="356"/>
  <c r="S27" i="356"/>
  <c r="R27" i="356"/>
  <c r="G27" i="356"/>
  <c r="Q27" i="356" s="1"/>
  <c r="B27" i="356"/>
  <c r="P27" i="356" s="1"/>
  <c r="AJ26" i="356"/>
  <c r="T26" i="356"/>
  <c r="S26" i="356"/>
  <c r="R26" i="356"/>
  <c r="Q26" i="356"/>
  <c r="G26" i="356"/>
  <c r="B26" i="356"/>
  <c r="P26" i="356" s="1"/>
  <c r="AJ25" i="356"/>
  <c r="T25" i="356"/>
  <c r="S25" i="356"/>
  <c r="R25" i="356"/>
  <c r="P25" i="356"/>
  <c r="G25" i="356"/>
  <c r="Q25" i="356" s="1"/>
  <c r="B25" i="356"/>
  <c r="AJ24" i="356"/>
  <c r="T24" i="356"/>
  <c r="S24" i="356"/>
  <c r="R24" i="356"/>
  <c r="P24" i="356"/>
  <c r="G24" i="356"/>
  <c r="Q24" i="356" s="1"/>
  <c r="B24" i="356"/>
  <c r="AJ23" i="356"/>
  <c r="T23" i="356"/>
  <c r="S23" i="356"/>
  <c r="R23" i="356"/>
  <c r="G23" i="356"/>
  <c r="Q23" i="356" s="1"/>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G20" i="356"/>
  <c r="Q20" i="356" s="1"/>
  <c r="B20" i="356"/>
  <c r="P20" i="356" s="1"/>
  <c r="AJ19" i="356"/>
  <c r="T19" i="356"/>
  <c r="S19" i="356"/>
  <c r="R19" i="356"/>
  <c r="G19" i="356"/>
  <c r="Q19" i="356" s="1"/>
  <c r="B19" i="356"/>
  <c r="P19" i="356" s="1"/>
  <c r="AJ18" i="356"/>
  <c r="T18" i="356"/>
  <c r="S18" i="356"/>
  <c r="R18" i="356"/>
  <c r="Q18" i="356"/>
  <c r="G18" i="356"/>
  <c r="B18" i="356"/>
  <c r="P18" i="356" s="1"/>
  <c r="AJ17" i="356"/>
  <c r="T17" i="356"/>
  <c r="S17" i="356"/>
  <c r="R17" i="356"/>
  <c r="P17" i="356"/>
  <c r="G17" i="356"/>
  <c r="Q17" i="356" s="1"/>
  <c r="B17" i="356"/>
  <c r="AJ16" i="356"/>
  <c r="T16" i="356"/>
  <c r="S16" i="356"/>
  <c r="R16" i="356"/>
  <c r="P16" i="356"/>
  <c r="G16" i="356"/>
  <c r="Q16" i="356" s="1"/>
  <c r="B16" i="356"/>
  <c r="AJ15" i="356"/>
  <c r="T15" i="356"/>
  <c r="S15" i="356"/>
  <c r="R15" i="356"/>
  <c r="P15" i="356"/>
  <c r="G15" i="356"/>
  <c r="Q15" i="356" s="1"/>
  <c r="B15" i="356"/>
  <c r="AJ14" i="356"/>
  <c r="T14" i="356"/>
  <c r="S14" i="356"/>
  <c r="R14" i="356"/>
  <c r="G14" i="356"/>
  <c r="Q14" i="356" s="1"/>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P19" i="355"/>
  <c r="G19" i="355"/>
  <c r="Q19" i="355" s="1"/>
  <c r="B19" i="355"/>
  <c r="AJ18" i="355"/>
  <c r="T18" i="355"/>
  <c r="S18" i="355"/>
  <c r="R18" i="355"/>
  <c r="G18" i="355"/>
  <c r="Q18" i="355" s="1"/>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G15" i="355"/>
  <c r="Q15" i="355" s="1"/>
  <c r="B15" i="355"/>
  <c r="P15" i="355" s="1"/>
  <c r="AJ14" i="355"/>
  <c r="T14" i="355"/>
  <c r="S14" i="355"/>
  <c r="R14" i="355"/>
  <c r="G14" i="355"/>
  <c r="Q14" i="355" s="1"/>
  <c r="B14" i="355"/>
  <c r="P14" i="355" s="1"/>
  <c r="AJ13" i="355"/>
  <c r="T13" i="355"/>
  <c r="S13" i="355"/>
  <c r="R13" i="355"/>
  <c r="G13" i="355"/>
  <c r="Q13" i="355" s="1"/>
  <c r="B13" i="355"/>
  <c r="P13" i="355" s="1"/>
  <c r="D9" i="354"/>
  <c r="AJ22" i="354"/>
  <c r="T22" i="354"/>
  <c r="S22" i="354"/>
  <c r="R22" i="354"/>
  <c r="G22" i="354"/>
  <c r="Q22" i="354" s="1"/>
  <c r="B22" i="354"/>
  <c r="P22" i="354" s="1"/>
  <c r="AJ21" i="354"/>
  <c r="T21" i="354"/>
  <c r="S21" i="354"/>
  <c r="R21" i="354"/>
  <c r="G21" i="354"/>
  <c r="Q21" i="354" s="1"/>
  <c r="B21" i="354"/>
  <c r="P21" i="354" s="1"/>
  <c r="AJ20" i="354"/>
  <c r="T20" i="354"/>
  <c r="S20" i="354"/>
  <c r="R20" i="354"/>
  <c r="G20" i="354"/>
  <c r="Q20" i="354" s="1"/>
  <c r="B20" i="354"/>
  <c r="P20" i="354" s="1"/>
  <c r="AJ19" i="354"/>
  <c r="T19" i="354"/>
  <c r="S19" i="354"/>
  <c r="R19" i="354"/>
  <c r="G19" i="354"/>
  <c r="Q19" i="354" s="1"/>
  <c r="B19" i="354"/>
  <c r="P19" i="354" s="1"/>
  <c r="AJ18" i="354"/>
  <c r="T18" i="354"/>
  <c r="S18" i="354"/>
  <c r="R18" i="354"/>
  <c r="G18" i="354"/>
  <c r="Q18" i="354" s="1"/>
  <c r="B18" i="354"/>
  <c r="P18" i="354" s="1"/>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G14" i="354"/>
  <c r="Q14" i="354" s="1"/>
  <c r="B14" i="354"/>
  <c r="P14" i="354" s="1"/>
  <c r="AJ13" i="354"/>
  <c r="T13" i="354"/>
  <c r="S13" i="354"/>
  <c r="R13" i="354"/>
  <c r="G13" i="354"/>
  <c r="Q13" i="354" s="1"/>
  <c r="B13" i="354"/>
  <c r="P13" i="354" s="1"/>
  <c r="D9" i="353"/>
  <c r="AJ21" i="353"/>
  <c r="T21" i="353"/>
  <c r="S21" i="353"/>
  <c r="R21" i="353"/>
  <c r="G21" i="353"/>
  <c r="Q21" i="353" s="1"/>
  <c r="B21" i="353"/>
  <c r="P21" i="353" s="1"/>
  <c r="AJ20" i="353"/>
  <c r="T20" i="353"/>
  <c r="S20" i="353"/>
  <c r="R20" i="353"/>
  <c r="G20" i="353"/>
  <c r="Q20" i="353" s="1"/>
  <c r="B20" i="353"/>
  <c r="P20" i="353" s="1"/>
  <c r="AJ19" i="353"/>
  <c r="T19" i="353"/>
  <c r="S19" i="353"/>
  <c r="R19" i="353"/>
  <c r="G19" i="353"/>
  <c r="Q19" i="353" s="1"/>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G15" i="353"/>
  <c r="Q15" i="353" s="1"/>
  <c r="B15" i="353"/>
  <c r="P15" i="353" s="1"/>
  <c r="AJ14" i="353"/>
  <c r="T14" i="353"/>
  <c r="S14" i="353"/>
  <c r="R14" i="353"/>
  <c r="G14" i="353"/>
  <c r="Q14" i="353" s="1"/>
  <c r="B14" i="353"/>
  <c r="P14" i="353" s="1"/>
  <c r="AJ13" i="353"/>
  <c r="T13" i="353"/>
  <c r="S13" i="353"/>
  <c r="R13" i="353"/>
  <c r="P13" i="353"/>
  <c r="G13" i="353"/>
  <c r="Q13" i="353" s="1"/>
  <c r="B13" i="353"/>
  <c r="D9" i="352"/>
  <c r="AJ23" i="352"/>
  <c r="T23" i="352"/>
  <c r="S23" i="352"/>
  <c r="P23" i="352"/>
  <c r="G23" i="352"/>
  <c r="R23" i="352" s="1"/>
  <c r="B23" i="352"/>
  <c r="AJ22" i="352"/>
  <c r="T22" i="352"/>
  <c r="S22" i="352"/>
  <c r="P22" i="352"/>
  <c r="G22" i="352"/>
  <c r="R22" i="352" s="1"/>
  <c r="B22" i="352"/>
  <c r="AJ21" i="352"/>
  <c r="T21" i="352"/>
  <c r="S21" i="352"/>
  <c r="R21" i="352"/>
  <c r="Q21" i="352"/>
  <c r="G21" i="352"/>
  <c r="B21" i="352"/>
  <c r="P21" i="352" s="1"/>
  <c r="AJ20" i="352"/>
  <c r="T20" i="352"/>
  <c r="S20" i="352"/>
  <c r="R20" i="352"/>
  <c r="G20" i="352"/>
  <c r="Q20" i="352" s="1"/>
  <c r="B20" i="352"/>
  <c r="P20" i="352" s="1"/>
  <c r="AJ19" i="352"/>
  <c r="T19" i="352"/>
  <c r="S19" i="352"/>
  <c r="R19" i="352"/>
  <c r="G19" i="352"/>
  <c r="Q19" i="352" s="1"/>
  <c r="B19" i="352"/>
  <c r="P19" i="352" s="1"/>
  <c r="AJ18" i="352"/>
  <c r="T18" i="352"/>
  <c r="S18" i="352"/>
  <c r="R18" i="352"/>
  <c r="G18" i="352"/>
  <c r="Q18" i="352" s="1"/>
  <c r="B18" i="352"/>
  <c r="P18" i="352" s="1"/>
  <c r="AJ17" i="352"/>
  <c r="T17" i="352"/>
  <c r="S17" i="352"/>
  <c r="R17" i="352"/>
  <c r="G17" i="352"/>
  <c r="Q17" i="352" s="1"/>
  <c r="B17" i="352"/>
  <c r="P17" i="352" s="1"/>
  <c r="AJ16" i="352"/>
  <c r="T16" i="352"/>
  <c r="S16" i="352"/>
  <c r="R16" i="352"/>
  <c r="Q16" i="352"/>
  <c r="G16" i="352"/>
  <c r="B16" i="352"/>
  <c r="P16" i="352" s="1"/>
  <c r="AJ15" i="352"/>
  <c r="T15" i="352"/>
  <c r="S15" i="352"/>
  <c r="R15" i="352"/>
  <c r="G15" i="352"/>
  <c r="Q15" i="352" s="1"/>
  <c r="B15" i="352"/>
  <c r="P15" i="352" s="1"/>
  <c r="AJ14" i="352"/>
  <c r="T14" i="352"/>
  <c r="S14" i="352"/>
  <c r="R14" i="352"/>
  <c r="Q14" i="352"/>
  <c r="G14" i="352"/>
  <c r="B14" i="352"/>
  <c r="P14" i="352" s="1"/>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G19" i="351"/>
  <c r="Q19" i="351" s="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G13" i="351"/>
  <c r="Q13" i="351" s="1"/>
  <c r="B13" i="351"/>
  <c r="P13" i="351" s="1"/>
  <c r="D9" i="350"/>
  <c r="AJ19" i="350"/>
  <c r="T19" i="350"/>
  <c r="S19" i="350"/>
  <c r="R19" i="350"/>
  <c r="G19" i="350"/>
  <c r="Q19" i="350" s="1"/>
  <c r="B19" i="350"/>
  <c r="P19" i="350" s="1"/>
  <c r="AJ18" i="350"/>
  <c r="T18" i="350"/>
  <c r="S18" i="350"/>
  <c r="R18" i="350"/>
  <c r="G18" i="350"/>
  <c r="Q18" i="350" s="1"/>
  <c r="B18" i="350"/>
  <c r="P18" i="350" s="1"/>
  <c r="AJ17" i="350"/>
  <c r="T17" i="350"/>
  <c r="S17" i="350"/>
  <c r="R17" i="350"/>
  <c r="G17" i="350"/>
  <c r="Q17" i="350" s="1"/>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G14" i="350"/>
  <c r="Q14" i="350" s="1"/>
  <c r="B14" i="350"/>
  <c r="P14" i="350" s="1"/>
  <c r="AJ13" i="350"/>
  <c r="T13" i="350"/>
  <c r="S13" i="350"/>
  <c r="R13" i="350"/>
  <c r="G13" i="350"/>
  <c r="Q13" i="350" s="1"/>
  <c r="B13" i="350"/>
  <c r="P13" i="350" s="1"/>
  <c r="D9" i="349"/>
  <c r="AJ36" i="349"/>
  <c r="T36" i="349"/>
  <c r="S36" i="349"/>
  <c r="R36" i="349"/>
  <c r="G36" i="349"/>
  <c r="Q36" i="349" s="1"/>
  <c r="B36" i="349"/>
  <c r="P36" i="349" s="1"/>
  <c r="AJ35" i="349"/>
  <c r="T35" i="349"/>
  <c r="S35" i="349"/>
  <c r="R35" i="349"/>
  <c r="G35" i="349"/>
  <c r="Q35" i="349" s="1"/>
  <c r="B35" i="349"/>
  <c r="P35" i="349" s="1"/>
  <c r="AJ34" i="349"/>
  <c r="T34" i="349"/>
  <c r="S34" i="349"/>
  <c r="R34" i="349"/>
  <c r="G34" i="349"/>
  <c r="Q34" i="349" s="1"/>
  <c r="B34" i="349"/>
  <c r="P34" i="349" s="1"/>
  <c r="AJ33" i="349"/>
  <c r="T33" i="349"/>
  <c r="S33" i="349"/>
  <c r="R33" i="349"/>
  <c r="Q33" i="349"/>
  <c r="G33" i="349"/>
  <c r="B33" i="349"/>
  <c r="P33" i="349" s="1"/>
  <c r="AJ32" i="349"/>
  <c r="T32" i="349"/>
  <c r="S32" i="349"/>
  <c r="R32" i="349"/>
  <c r="Q32" i="349"/>
  <c r="G32" i="349"/>
  <c r="B32" i="349"/>
  <c r="P32" i="349" s="1"/>
  <c r="AJ31" i="349"/>
  <c r="T31" i="349"/>
  <c r="S31" i="349"/>
  <c r="R31" i="349"/>
  <c r="Q31" i="349"/>
  <c r="G31" i="349"/>
  <c r="B31" i="349"/>
  <c r="P31" i="349" s="1"/>
  <c r="AJ30" i="349"/>
  <c r="T30" i="349"/>
  <c r="S30" i="349"/>
  <c r="R30" i="349"/>
  <c r="Q30" i="349"/>
  <c r="G30" i="349"/>
  <c r="B30" i="349"/>
  <c r="P30" i="349" s="1"/>
  <c r="AJ29" i="349"/>
  <c r="T29" i="349"/>
  <c r="S29" i="349"/>
  <c r="R29" i="349"/>
  <c r="Q29" i="349"/>
  <c r="G29" i="349"/>
  <c r="B29" i="349"/>
  <c r="P29" i="349" s="1"/>
  <c r="AJ28" i="349"/>
  <c r="T28" i="349"/>
  <c r="S28" i="349"/>
  <c r="R28" i="349"/>
  <c r="G28" i="349"/>
  <c r="Q28" i="349" s="1"/>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G25" i="349"/>
  <c r="Q25" i="349" s="1"/>
  <c r="B25" i="349"/>
  <c r="P25" i="349" s="1"/>
  <c r="AJ24" i="349"/>
  <c r="T24" i="349"/>
  <c r="S24" i="349"/>
  <c r="R24" i="349"/>
  <c r="G24" i="349"/>
  <c r="Q24" i="349" s="1"/>
  <c r="B24" i="349"/>
  <c r="P24" i="349" s="1"/>
  <c r="AJ23" i="349"/>
  <c r="T23" i="349"/>
  <c r="S23" i="349"/>
  <c r="R23" i="349"/>
  <c r="G23" i="349"/>
  <c r="Q23" i="349" s="1"/>
  <c r="B23" i="349"/>
  <c r="P23" i="349" s="1"/>
  <c r="AJ22" i="349"/>
  <c r="T22" i="349"/>
  <c r="S22" i="349"/>
  <c r="R22" i="349"/>
  <c r="G22" i="349"/>
  <c r="Q22" i="349" s="1"/>
  <c r="B22" i="349"/>
  <c r="P22" i="349" s="1"/>
  <c r="AJ21" i="349"/>
  <c r="T21" i="349"/>
  <c r="S21" i="349"/>
  <c r="R21" i="349"/>
  <c r="G21" i="349"/>
  <c r="Q21" i="349" s="1"/>
  <c r="B21" i="349"/>
  <c r="P21" i="349" s="1"/>
  <c r="AJ20" i="349"/>
  <c r="T20" i="349"/>
  <c r="S20" i="349"/>
  <c r="R20" i="349"/>
  <c r="G20" i="349"/>
  <c r="Q20" i="349" s="1"/>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G17" i="349"/>
  <c r="Q17" i="349" s="1"/>
  <c r="B17" i="349"/>
  <c r="P17" i="349" s="1"/>
  <c r="AJ16" i="349"/>
  <c r="T16" i="349"/>
  <c r="S16" i="349"/>
  <c r="R16" i="349"/>
  <c r="G16" i="349"/>
  <c r="Q16" i="349" s="1"/>
  <c r="B16" i="349"/>
  <c r="P16" i="349" s="1"/>
  <c r="AJ15" i="349"/>
  <c r="T15" i="349"/>
  <c r="S15" i="349"/>
  <c r="R15" i="349"/>
  <c r="G15" i="349"/>
  <c r="Q15" i="349" s="1"/>
  <c r="B15" i="349"/>
  <c r="P15" i="349" s="1"/>
  <c r="AJ14" i="349"/>
  <c r="T14" i="349"/>
  <c r="S14" i="349"/>
  <c r="R14" i="349"/>
  <c r="G14" i="349"/>
  <c r="Q14" i="349" s="1"/>
  <c r="B14" i="349"/>
  <c r="P14" i="349" s="1"/>
  <c r="AJ13" i="349"/>
  <c r="T13" i="349"/>
  <c r="S13" i="349"/>
  <c r="R13" i="349"/>
  <c r="G13" i="349"/>
  <c r="Q13" i="349" s="1"/>
  <c r="B13" i="349"/>
  <c r="P13" i="349" s="1"/>
  <c r="D9" i="348"/>
  <c r="AJ32" i="348"/>
  <c r="T32" i="348"/>
  <c r="S32" i="348"/>
  <c r="R32" i="348"/>
  <c r="G32" i="348"/>
  <c r="Q32" i="348" s="1"/>
  <c r="B32" i="348"/>
  <c r="P32" i="348" s="1"/>
  <c r="AJ31" i="348"/>
  <c r="T31" i="348"/>
  <c r="S31" i="348"/>
  <c r="R31" i="348"/>
  <c r="G31" i="348"/>
  <c r="Q31" i="348" s="1"/>
  <c r="B31" i="348"/>
  <c r="P31" i="348" s="1"/>
  <c r="AJ30" i="348"/>
  <c r="T30" i="348"/>
  <c r="S30" i="348"/>
  <c r="R30" i="348"/>
  <c r="G30" i="348"/>
  <c r="Q30" i="348" s="1"/>
  <c r="B30" i="348"/>
  <c r="P30" i="348" s="1"/>
  <c r="AJ29" i="348"/>
  <c r="T29" i="348"/>
  <c r="S29" i="348"/>
  <c r="R29" i="348"/>
  <c r="G29" i="348"/>
  <c r="Q29" i="348" s="1"/>
  <c r="B29" i="348"/>
  <c r="P29" i="348" s="1"/>
  <c r="AJ28" i="348"/>
  <c r="T28" i="348"/>
  <c r="S28" i="348"/>
  <c r="R28" i="348"/>
  <c r="G28" i="348"/>
  <c r="Q28" i="348" s="1"/>
  <c r="B28" i="348"/>
  <c r="P28" i="348" s="1"/>
  <c r="AJ27" i="348"/>
  <c r="T27" i="348"/>
  <c r="S27" i="348"/>
  <c r="R27" i="348"/>
  <c r="G27" i="348"/>
  <c r="Q27" i="348" s="1"/>
  <c r="B27" i="348"/>
  <c r="P27" i="348" s="1"/>
  <c r="AJ26" i="348"/>
  <c r="T26" i="348"/>
  <c r="S26" i="348"/>
  <c r="R26" i="348"/>
  <c r="G26" i="348"/>
  <c r="Q26" i="348" s="1"/>
  <c r="B26" i="348"/>
  <c r="P26" i="348" s="1"/>
  <c r="AJ25" i="348"/>
  <c r="T25" i="348"/>
  <c r="S25" i="348"/>
  <c r="R25" i="348"/>
  <c r="G25" i="348"/>
  <c r="Q25" i="348" s="1"/>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G15" i="348"/>
  <c r="Q15" i="348" s="1"/>
  <c r="B15" i="348"/>
  <c r="P15" i="348" s="1"/>
  <c r="AJ14" i="348"/>
  <c r="T14" i="348"/>
  <c r="S14" i="348"/>
  <c r="R14" i="348"/>
  <c r="G14" i="348"/>
  <c r="Q14" i="348" s="1"/>
  <c r="B14" i="348"/>
  <c r="P14" i="348" s="1"/>
  <c r="AJ13" i="348"/>
  <c r="T13" i="348"/>
  <c r="S13" i="348"/>
  <c r="R13" i="348"/>
  <c r="G13" i="348"/>
  <c r="Q13" i="348" s="1"/>
  <c r="B13" i="348"/>
  <c r="P13" i="348" s="1"/>
  <c r="D9" i="347"/>
  <c r="AJ40" i="347"/>
  <c r="T40" i="347"/>
  <c r="S40" i="347"/>
  <c r="R40" i="347"/>
  <c r="G40" i="347"/>
  <c r="Q40" i="347" s="1"/>
  <c r="B40" i="347"/>
  <c r="P40" i="347" s="1"/>
  <c r="AJ39" i="347"/>
  <c r="T39" i="347"/>
  <c r="S39" i="347"/>
  <c r="R39" i="347"/>
  <c r="G39" i="347"/>
  <c r="Q39" i="347" s="1"/>
  <c r="B39" i="347"/>
  <c r="P39" i="347" s="1"/>
  <c r="AJ38" i="347"/>
  <c r="T38" i="347"/>
  <c r="S38" i="347"/>
  <c r="R38" i="347"/>
  <c r="G38" i="347"/>
  <c r="Q38" i="347" s="1"/>
  <c r="B38" i="347"/>
  <c r="P38" i="347" s="1"/>
  <c r="AJ37" i="347"/>
  <c r="T37" i="347"/>
  <c r="S37" i="347"/>
  <c r="R37" i="347"/>
  <c r="G37" i="347"/>
  <c r="Q37" i="347" s="1"/>
  <c r="B37" i="347"/>
  <c r="P37" i="347" s="1"/>
  <c r="AJ36" i="347"/>
  <c r="T36" i="347"/>
  <c r="S36" i="347"/>
  <c r="R36" i="347"/>
  <c r="G36" i="347"/>
  <c r="Q36" i="347" s="1"/>
  <c r="B36" i="347"/>
  <c r="P36" i="347" s="1"/>
  <c r="AJ35" i="347"/>
  <c r="T35" i="347"/>
  <c r="S35" i="347"/>
  <c r="R35" i="347"/>
  <c r="G35" i="347"/>
  <c r="Q35" i="347" s="1"/>
  <c r="B35" i="347"/>
  <c r="P35" i="347" s="1"/>
  <c r="AJ34" i="347"/>
  <c r="T34" i="347"/>
  <c r="S34" i="347"/>
  <c r="R34" i="347"/>
  <c r="G34" i="347"/>
  <c r="Q34" i="347" s="1"/>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G24" i="347"/>
  <c r="Q24" i="347" s="1"/>
  <c r="B24" i="347"/>
  <c r="P24" i="347" s="1"/>
  <c r="AJ23" i="347"/>
  <c r="T23" i="347"/>
  <c r="S23" i="347"/>
  <c r="R23" i="347"/>
  <c r="G23" i="347"/>
  <c r="Q23" i="347" s="1"/>
  <c r="B23" i="347"/>
  <c r="P23" i="347" s="1"/>
  <c r="AJ22" i="347"/>
  <c r="T22" i="347"/>
  <c r="S22" i="347"/>
  <c r="R22" i="347"/>
  <c r="G22" i="347"/>
  <c r="Q22" i="347" s="1"/>
  <c r="B22" i="347"/>
  <c r="P22" i="347" s="1"/>
  <c r="AJ21" i="347"/>
  <c r="T21" i="347"/>
  <c r="S21" i="347"/>
  <c r="R21" i="347"/>
  <c r="G21" i="347"/>
  <c r="Q21" i="347" s="1"/>
  <c r="B21" i="347"/>
  <c r="P21" i="347" s="1"/>
  <c r="AJ20" i="347"/>
  <c r="T20" i="347"/>
  <c r="S20" i="347"/>
  <c r="R20" i="347"/>
  <c r="G20" i="347"/>
  <c r="Q20" i="347" s="1"/>
  <c r="B20" i="347"/>
  <c r="P20" i="347" s="1"/>
  <c r="AJ19" i="347"/>
  <c r="T19" i="347"/>
  <c r="S19" i="347"/>
  <c r="R19" i="347"/>
  <c r="G19" i="347"/>
  <c r="Q19" i="347" s="1"/>
  <c r="B19" i="347"/>
  <c r="P19" i="347" s="1"/>
  <c r="AJ18" i="347"/>
  <c r="T18" i="347"/>
  <c r="S18" i="347"/>
  <c r="R18" i="347"/>
  <c r="G18" i="347"/>
  <c r="Q18" i="347" s="1"/>
  <c r="B18" i="347"/>
  <c r="P18" i="347" s="1"/>
  <c r="AJ17" i="347"/>
  <c r="T17" i="347"/>
  <c r="S17" i="347"/>
  <c r="G17" i="347"/>
  <c r="R17" i="347" s="1"/>
  <c r="B17" i="347"/>
  <c r="P17" i="347" s="1"/>
  <c r="AJ16" i="347"/>
  <c r="T16" i="347"/>
  <c r="S16" i="347"/>
  <c r="R16" i="347"/>
  <c r="P16" i="347"/>
  <c r="G16" i="347"/>
  <c r="Q16" i="347" s="1"/>
  <c r="B16" i="347"/>
  <c r="AJ15" i="347"/>
  <c r="T15" i="347"/>
  <c r="S15" i="347"/>
  <c r="R15" i="347"/>
  <c r="P15" i="347"/>
  <c r="G15" i="347"/>
  <c r="Q15" i="347" s="1"/>
  <c r="B15" i="347"/>
  <c r="AJ14" i="347"/>
  <c r="T14" i="347"/>
  <c r="S14" i="347"/>
  <c r="R14" i="347"/>
  <c r="P14" i="347"/>
  <c r="G14" i="347"/>
  <c r="Q14" i="347" s="1"/>
  <c r="B14" i="347"/>
  <c r="AJ13" i="347"/>
  <c r="T13" i="347"/>
  <c r="S13" i="347"/>
  <c r="R13" i="347"/>
  <c r="P13" i="347"/>
  <c r="G13" i="347"/>
  <c r="Q13" i="347" s="1"/>
  <c r="B13" i="347"/>
  <c r="D9" i="346"/>
  <c r="AJ26" i="346"/>
  <c r="T26" i="346"/>
  <c r="S26" i="346"/>
  <c r="R26" i="346"/>
  <c r="P26" i="346"/>
  <c r="G26" i="346"/>
  <c r="Q26" i="346" s="1"/>
  <c r="B26" i="346"/>
  <c r="AJ25" i="346"/>
  <c r="T25" i="346"/>
  <c r="S25" i="346"/>
  <c r="R25" i="346"/>
  <c r="P25" i="346"/>
  <c r="G25" i="346"/>
  <c r="Q25" i="346" s="1"/>
  <c r="B25" i="346"/>
  <c r="AJ24" i="346"/>
  <c r="T24" i="346"/>
  <c r="S24" i="346"/>
  <c r="R24" i="346"/>
  <c r="G24" i="346"/>
  <c r="Q24" i="346" s="1"/>
  <c r="B24" i="346"/>
  <c r="P24" i="346" s="1"/>
  <c r="AJ23" i="346"/>
  <c r="T23" i="346"/>
  <c r="S23" i="346"/>
  <c r="R23" i="346"/>
  <c r="G23" i="346"/>
  <c r="Q23" i="346" s="1"/>
  <c r="B23" i="346"/>
  <c r="P23" i="346" s="1"/>
  <c r="AJ22" i="346"/>
  <c r="T22" i="346"/>
  <c r="S22" i="346"/>
  <c r="G22" i="346"/>
  <c r="R22" i="346" s="1"/>
  <c r="B22" i="346"/>
  <c r="P22" i="346" s="1"/>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G18" i="346"/>
  <c r="Q18" i="346" s="1"/>
  <c r="B18" i="346"/>
  <c r="P18" i="346" s="1"/>
  <c r="AJ17" i="346"/>
  <c r="T17" i="346"/>
  <c r="S17" i="346"/>
  <c r="G17" i="346"/>
  <c r="R17" i="346" s="1"/>
  <c r="B17" i="346"/>
  <c r="P17" i="346" s="1"/>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G38" i="345"/>
  <c r="Q38" i="345" s="1"/>
  <c r="B38" i="345"/>
  <c r="P38" i="345" s="1"/>
  <c r="AJ37" i="345"/>
  <c r="T37" i="345"/>
  <c r="S37" i="345"/>
  <c r="R37" i="345"/>
  <c r="G37" i="345"/>
  <c r="Q37" i="345" s="1"/>
  <c r="B37" i="345"/>
  <c r="P37" i="345" s="1"/>
  <c r="AJ36" i="345"/>
  <c r="T36" i="345"/>
  <c r="S36" i="345"/>
  <c r="R36" i="345"/>
  <c r="G36" i="345"/>
  <c r="Q36" i="345" s="1"/>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G32" i="345"/>
  <c r="Q32" i="345" s="1"/>
  <c r="B32" i="345"/>
  <c r="P32" i="345" s="1"/>
  <c r="AJ31" i="345"/>
  <c r="T31" i="345"/>
  <c r="S31" i="345"/>
  <c r="R31" i="345"/>
  <c r="G31" i="345"/>
  <c r="Q31" i="345" s="1"/>
  <c r="B31" i="345"/>
  <c r="P31" i="345" s="1"/>
  <c r="AJ30" i="345"/>
  <c r="T30" i="345"/>
  <c r="S30" i="345"/>
  <c r="R30" i="345"/>
  <c r="G30" i="345"/>
  <c r="Q30" i="345" s="1"/>
  <c r="B30" i="345"/>
  <c r="P30" i="345" s="1"/>
  <c r="AJ29" i="345"/>
  <c r="T29" i="345"/>
  <c r="S29" i="345"/>
  <c r="R29" i="345"/>
  <c r="Q29" i="345"/>
  <c r="G29" i="345"/>
  <c r="B29" i="345"/>
  <c r="P29" i="345" s="1"/>
  <c r="AJ28" i="345"/>
  <c r="T28" i="345"/>
  <c r="S28" i="345"/>
  <c r="R28" i="345"/>
  <c r="G28" i="345"/>
  <c r="Q28" i="345" s="1"/>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G24" i="345"/>
  <c r="Q24" i="345" s="1"/>
  <c r="B24" i="345"/>
  <c r="P24" i="345" s="1"/>
  <c r="AJ23" i="345"/>
  <c r="T23" i="345"/>
  <c r="S23" i="345"/>
  <c r="R23" i="345"/>
  <c r="G23" i="345"/>
  <c r="Q23" i="345" s="1"/>
  <c r="B23" i="345"/>
  <c r="P23" i="345" s="1"/>
  <c r="AJ22" i="345"/>
  <c r="T22" i="345"/>
  <c r="S22" i="345"/>
  <c r="R22" i="345"/>
  <c r="P22" i="345"/>
  <c r="G22" i="345"/>
  <c r="Q22" i="345" s="1"/>
  <c r="B22" i="345"/>
  <c r="AJ21" i="345"/>
  <c r="T21" i="345"/>
  <c r="S21" i="345"/>
  <c r="R21" i="345"/>
  <c r="Q21" i="345"/>
  <c r="P21" i="345"/>
  <c r="G21" i="345"/>
  <c r="B21" i="345"/>
  <c r="AJ20" i="345"/>
  <c r="T20" i="345"/>
  <c r="S20" i="345"/>
  <c r="R20" i="345"/>
  <c r="G20" i="345"/>
  <c r="Q20" i="345" s="1"/>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G15" i="345"/>
  <c r="Q15" i="345" s="1"/>
  <c r="B15" i="345"/>
  <c r="P15" i="345" s="1"/>
  <c r="AJ14" i="345"/>
  <c r="T14" i="345"/>
  <c r="S14" i="345"/>
  <c r="R14" i="345"/>
  <c r="G14" i="345"/>
  <c r="Q14" i="345" s="1"/>
  <c r="B14" i="345"/>
  <c r="P14" i="345" s="1"/>
  <c r="AJ13" i="345"/>
  <c r="T13" i="345"/>
  <c r="S13" i="345"/>
  <c r="R13" i="345"/>
  <c r="G13" i="345"/>
  <c r="Q13" i="345" s="1"/>
  <c r="B13" i="345"/>
  <c r="P13" i="345" s="1"/>
  <c r="D9" i="344"/>
  <c r="AJ23" i="344"/>
  <c r="T23" i="344"/>
  <c r="S23" i="344"/>
  <c r="R23" i="344"/>
  <c r="G23" i="344"/>
  <c r="Q23" i="344" s="1"/>
  <c r="B23" i="344"/>
  <c r="P23" i="344" s="1"/>
  <c r="AJ22" i="344"/>
  <c r="T22" i="344"/>
  <c r="S22" i="344"/>
  <c r="R22" i="344"/>
  <c r="G22" i="344"/>
  <c r="Q22" i="344" s="1"/>
  <c r="B22" i="344"/>
  <c r="P22" i="344" s="1"/>
  <c r="AJ21" i="344"/>
  <c r="T21" i="344"/>
  <c r="S21" i="344"/>
  <c r="R21" i="344"/>
  <c r="G21" i="344"/>
  <c r="Q21" i="344" s="1"/>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G16" i="344"/>
  <c r="Q16" i="344" s="1"/>
  <c r="B16" i="344"/>
  <c r="P16" i="344" s="1"/>
  <c r="AJ15" i="344"/>
  <c r="T15" i="344"/>
  <c r="S15" i="344"/>
  <c r="R15" i="344"/>
  <c r="Q15" i="344"/>
  <c r="G15" i="344"/>
  <c r="B15" i="344"/>
  <c r="P15" i="344" s="1"/>
  <c r="AJ14" i="344"/>
  <c r="T14" i="344"/>
  <c r="S14" i="344"/>
  <c r="R14" i="344"/>
  <c r="Q14" i="344"/>
  <c r="G14" i="344"/>
  <c r="B14" i="344"/>
  <c r="P14" i="344" s="1"/>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G20" i="343"/>
  <c r="Q20" i="343" s="1"/>
  <c r="B20" i="343"/>
  <c r="P20" i="343" s="1"/>
  <c r="AJ19" i="343"/>
  <c r="T19" i="343"/>
  <c r="S19" i="343"/>
  <c r="R19" i="343"/>
  <c r="Q19" i="343"/>
  <c r="G19" i="343"/>
  <c r="B19" i="343"/>
  <c r="P19" i="343" s="1"/>
  <c r="AJ18" i="343"/>
  <c r="T18" i="343"/>
  <c r="S18" i="343"/>
  <c r="R18" i="343"/>
  <c r="G18" i="343"/>
  <c r="Q18" i="343" s="1"/>
  <c r="B18" i="343"/>
  <c r="P18" i="343" s="1"/>
  <c r="AJ17" i="343"/>
  <c r="T17" i="343"/>
  <c r="S17" i="343"/>
  <c r="G17" i="343"/>
  <c r="R17" i="343" s="1"/>
  <c r="B17" i="343"/>
  <c r="P17" i="343" s="1"/>
  <c r="AJ16" i="343"/>
  <c r="T16" i="343"/>
  <c r="S16" i="343"/>
  <c r="R16" i="343"/>
  <c r="G16" i="343"/>
  <c r="Q16" i="343" s="1"/>
  <c r="B16" i="343"/>
  <c r="P16" i="343" s="1"/>
  <c r="AJ15" i="343"/>
  <c r="T15" i="343"/>
  <c r="S15" i="343"/>
  <c r="R15" i="343"/>
  <c r="G15" i="343"/>
  <c r="Q15" i="343" s="1"/>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P25" i="342"/>
  <c r="G25" i="342"/>
  <c r="Q25" i="342" s="1"/>
  <c r="B25" i="342"/>
  <c r="AJ24" i="342"/>
  <c r="T24" i="342"/>
  <c r="S24" i="342"/>
  <c r="R24" i="342"/>
  <c r="G24" i="342"/>
  <c r="Q24" i="342" s="1"/>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G17" i="342"/>
  <c r="R17" i="342" s="1"/>
  <c r="B17" i="342"/>
  <c r="P17" i="342" s="1"/>
  <c r="AJ16" i="342"/>
  <c r="T16" i="342"/>
  <c r="S16" i="342"/>
  <c r="R16" i="342"/>
  <c r="G16" i="342"/>
  <c r="Q16" i="342" s="1"/>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G23" i="341"/>
  <c r="Q23" i="341" s="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G18" i="341"/>
  <c r="Q18" i="341" s="1"/>
  <c r="B18" i="341"/>
  <c r="P18" i="341" s="1"/>
  <c r="AJ17" i="341"/>
  <c r="T17" i="341"/>
  <c r="S17" i="341"/>
  <c r="G17" i="341"/>
  <c r="R17" i="341" s="1"/>
  <c r="B17" i="341"/>
  <c r="P17" i="341" s="1"/>
  <c r="AJ16" i="341"/>
  <c r="T16" i="341"/>
  <c r="S16" i="341"/>
  <c r="R16" i="341"/>
  <c r="G16" i="341"/>
  <c r="Q16" i="341" s="1"/>
  <c r="B16" i="341"/>
  <c r="P16" i="341" s="1"/>
  <c r="AJ15" i="341"/>
  <c r="T15" i="341"/>
  <c r="S15" i="341"/>
  <c r="R15" i="341"/>
  <c r="G15" i="341"/>
  <c r="Q15" i="341" s="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G31" i="340"/>
  <c r="Q31" i="340" s="1"/>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G25" i="340"/>
  <c r="Q25" i="340" s="1"/>
  <c r="B25" i="340"/>
  <c r="P25" i="340" s="1"/>
  <c r="AJ24" i="340"/>
  <c r="T24" i="340"/>
  <c r="S24" i="340"/>
  <c r="R24" i="340"/>
  <c r="G24" i="340"/>
  <c r="Q24" i="340" s="1"/>
  <c r="B24" i="340"/>
  <c r="P24" i="340" s="1"/>
  <c r="AJ23" i="340"/>
  <c r="T23" i="340"/>
  <c r="S23" i="340"/>
  <c r="R23" i="340"/>
  <c r="G23" i="340"/>
  <c r="Q23" i="340" s="1"/>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P16" i="340"/>
  <c r="G16" i="340"/>
  <c r="Q16" i="340" s="1"/>
  <c r="B16" i="340"/>
  <c r="AJ15" i="340"/>
  <c r="T15" i="340"/>
  <c r="S15" i="340"/>
  <c r="R15" i="340"/>
  <c r="G15" i="340"/>
  <c r="Q15" i="340" s="1"/>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G27" i="339"/>
  <c r="Q27" i="339" s="1"/>
  <c r="B27" i="339"/>
  <c r="P27" i="339" s="1"/>
  <c r="AJ26" i="339"/>
  <c r="T26" i="339"/>
  <c r="S26" i="339"/>
  <c r="R26" i="339"/>
  <c r="Q26" i="339"/>
  <c r="G26" i="339"/>
  <c r="B26" i="339"/>
  <c r="P26" i="339" s="1"/>
  <c r="AJ25" i="339"/>
  <c r="T25" i="339"/>
  <c r="S25" i="339"/>
  <c r="R25" i="339"/>
  <c r="G25" i="339"/>
  <c r="Q25" i="339" s="1"/>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G19" i="339"/>
  <c r="Q19" i="339" s="1"/>
  <c r="B19" i="339"/>
  <c r="P19" i="339" s="1"/>
  <c r="AJ18" i="339"/>
  <c r="T18" i="339"/>
  <c r="S18" i="339"/>
  <c r="R18" i="339"/>
  <c r="G18" i="339"/>
  <c r="Q18" i="339" s="1"/>
  <c r="B18" i="339"/>
  <c r="P18" i="339" s="1"/>
  <c r="AJ17" i="339"/>
  <c r="T17" i="339"/>
  <c r="S17" i="339"/>
  <c r="G17" i="339"/>
  <c r="R17" i="339" s="1"/>
  <c r="B17" i="339"/>
  <c r="P17" i="339" s="1"/>
  <c r="AJ16" i="339"/>
  <c r="T16" i="339"/>
  <c r="S16" i="339"/>
  <c r="R16" i="339"/>
  <c r="G16" i="339"/>
  <c r="Q16" i="339" s="1"/>
  <c r="B16" i="339"/>
  <c r="P16" i="339" s="1"/>
  <c r="AJ15" i="339"/>
  <c r="T15" i="339"/>
  <c r="S15" i="339"/>
  <c r="R15" i="339"/>
  <c r="G15" i="339"/>
  <c r="Q15" i="339" s="1"/>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P22" i="338"/>
  <c r="G22" i="338"/>
  <c r="Q22" i="338" s="1"/>
  <c r="B22" i="338"/>
  <c r="AJ21" i="338"/>
  <c r="T21" i="338"/>
  <c r="S21" i="338"/>
  <c r="R21" i="338"/>
  <c r="P21" i="338"/>
  <c r="G21" i="338"/>
  <c r="Q21" i="338" s="1"/>
  <c r="B21" i="338"/>
  <c r="AJ20" i="338"/>
  <c r="T20" i="338"/>
  <c r="S20" i="338"/>
  <c r="R20" i="338"/>
  <c r="G20" i="338"/>
  <c r="Q20" i="338" s="1"/>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G15" i="338"/>
  <c r="Q15" i="338" s="1"/>
  <c r="B15" i="338"/>
  <c r="P15" i="338" s="1"/>
  <c r="AJ14" i="338"/>
  <c r="T14" i="338"/>
  <c r="S14" i="338"/>
  <c r="R14" i="338"/>
  <c r="G14" i="338"/>
  <c r="Q14" i="338" s="1"/>
  <c r="B14" i="338"/>
  <c r="P14" i="338" s="1"/>
  <c r="AJ13" i="338"/>
  <c r="T13" i="338"/>
  <c r="S13" i="338"/>
  <c r="R13" i="338"/>
  <c r="G13" i="338"/>
  <c r="Q13" i="338" s="1"/>
  <c r="B13" i="338"/>
  <c r="P13" i="338" s="1"/>
  <c r="D9" i="337"/>
  <c r="AJ25" i="337"/>
  <c r="T25" i="337"/>
  <c r="S25" i="337"/>
  <c r="R25" i="337"/>
  <c r="G25" i="337"/>
  <c r="Q25" i="337" s="1"/>
  <c r="B25" i="337"/>
  <c r="P25" i="337" s="1"/>
  <c r="AJ24" i="337"/>
  <c r="T24" i="337"/>
  <c r="S24" i="337"/>
  <c r="R24" i="337"/>
  <c r="G24" i="337"/>
  <c r="Q24" i="337" s="1"/>
  <c r="B24" i="337"/>
  <c r="P24" i="337" s="1"/>
  <c r="AJ23" i="337"/>
  <c r="T23" i="337"/>
  <c r="S23" i="337"/>
  <c r="R23" i="337"/>
  <c r="G23" i="337"/>
  <c r="Q23" i="337" s="1"/>
  <c r="B23" i="337"/>
  <c r="P23" i="337" s="1"/>
  <c r="AJ22" i="337"/>
  <c r="T22" i="337"/>
  <c r="S22" i="337"/>
  <c r="R22" i="337"/>
  <c r="G22" i="337"/>
  <c r="Q22" i="337" s="1"/>
  <c r="B22" i="337"/>
  <c r="P22" i="337" s="1"/>
  <c r="AJ21" i="337"/>
  <c r="T21" i="337"/>
  <c r="S21" i="337"/>
  <c r="R21" i="337"/>
  <c r="G21" i="337"/>
  <c r="Q21" i="337" s="1"/>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G17" i="337"/>
  <c r="Q17" i="337" s="1"/>
  <c r="B17" i="337"/>
  <c r="P17" i="337" s="1"/>
  <c r="AJ16" i="337"/>
  <c r="T16" i="337"/>
  <c r="S16" i="337"/>
  <c r="R16" i="337"/>
  <c r="G16" i="337"/>
  <c r="Q16" i="337" s="1"/>
  <c r="B16" i="337"/>
  <c r="P16" i="337" s="1"/>
  <c r="AJ15" i="337"/>
  <c r="T15" i="337"/>
  <c r="S15" i="337"/>
  <c r="R15" i="337"/>
  <c r="G15" i="337"/>
  <c r="Q15" i="337" s="1"/>
  <c r="B15" i="337"/>
  <c r="P15" i="337" s="1"/>
  <c r="AJ14" i="337"/>
  <c r="T14" i="337"/>
  <c r="S14" i="337"/>
  <c r="R14" i="337"/>
  <c r="G14" i="337"/>
  <c r="Q14" i="337" s="1"/>
  <c r="B14" i="337"/>
  <c r="P14" i="337" s="1"/>
  <c r="AJ13" i="337"/>
  <c r="T13" i="337"/>
  <c r="S13" i="337"/>
  <c r="R13" i="337"/>
  <c r="Q13" i="337"/>
  <c r="G13" i="337"/>
  <c r="B13" i="337"/>
  <c r="P13" i="337" s="1"/>
  <c r="D9" i="336"/>
  <c r="AJ32" i="336"/>
  <c r="T32" i="336"/>
  <c r="S32" i="336"/>
  <c r="R32" i="336"/>
  <c r="G32" i="336"/>
  <c r="Q32" i="336" s="1"/>
  <c r="B32" i="336"/>
  <c r="P32" i="336" s="1"/>
  <c r="AJ31" i="336"/>
  <c r="T31" i="336"/>
  <c r="S31" i="336"/>
  <c r="R31" i="336"/>
  <c r="Q31" i="336"/>
  <c r="G31" i="336"/>
  <c r="B31" i="336"/>
  <c r="P31" i="336" s="1"/>
  <c r="AJ30" i="336"/>
  <c r="T30" i="336"/>
  <c r="S30" i="336"/>
  <c r="R30" i="336"/>
  <c r="G30" i="336"/>
  <c r="Q30" i="336" s="1"/>
  <c r="B30" i="336"/>
  <c r="P30" i="336" s="1"/>
  <c r="AJ29" i="336"/>
  <c r="T29" i="336"/>
  <c r="S29" i="336"/>
  <c r="R29" i="336"/>
  <c r="G29" i="336"/>
  <c r="Q29" i="336" s="1"/>
  <c r="B29" i="336"/>
  <c r="P29" i="336" s="1"/>
  <c r="AJ28" i="336"/>
  <c r="T28" i="336"/>
  <c r="S28" i="336"/>
  <c r="R28" i="336"/>
  <c r="G28" i="336"/>
  <c r="Q28" i="336" s="1"/>
  <c r="B28" i="336"/>
  <c r="P28" i="336" s="1"/>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G22" i="336"/>
  <c r="Q22" i="336" s="1"/>
  <c r="B22" i="336"/>
  <c r="P22" i="336" s="1"/>
  <c r="AJ21" i="336"/>
  <c r="T21" i="336"/>
  <c r="S21" i="336"/>
  <c r="R21" i="336"/>
  <c r="G21" i="336"/>
  <c r="Q21" i="336" s="1"/>
  <c r="B21" i="336"/>
  <c r="P21" i="336" s="1"/>
  <c r="AJ20" i="336"/>
  <c r="T20" i="336"/>
  <c r="S20" i="336"/>
  <c r="R20" i="336"/>
  <c r="G20" i="336"/>
  <c r="Q20" i="336" s="1"/>
  <c r="B20" i="336"/>
  <c r="P20" i="336" s="1"/>
  <c r="AJ19" i="336"/>
  <c r="T19" i="336"/>
  <c r="S19" i="336"/>
  <c r="R19" i="336"/>
  <c r="G19" i="336"/>
  <c r="Q19" i="336" s="1"/>
  <c r="B19" i="336"/>
  <c r="P19" i="336" s="1"/>
  <c r="AJ18" i="336"/>
  <c r="T18" i="336"/>
  <c r="S18" i="336"/>
  <c r="R18" i="336"/>
  <c r="G18" i="336"/>
  <c r="Q18" i="336" s="1"/>
  <c r="B18" i="336"/>
  <c r="P18" i="336" s="1"/>
  <c r="AJ17" i="336"/>
  <c r="T17" i="336"/>
  <c r="S17" i="336"/>
  <c r="G17" i="336"/>
  <c r="R17" i="336" s="1"/>
  <c r="B17" i="336"/>
  <c r="P17" i="336" s="1"/>
  <c r="AJ16" i="336"/>
  <c r="T16" i="336"/>
  <c r="S16" i="336"/>
  <c r="R16" i="336"/>
  <c r="G16" i="336"/>
  <c r="Q16" i="336" s="1"/>
  <c r="B16" i="336"/>
  <c r="P16" i="336" s="1"/>
  <c r="AJ15" i="336"/>
  <c r="T15" i="336"/>
  <c r="S15" i="336"/>
  <c r="R15" i="336"/>
  <c r="G15" i="336"/>
  <c r="Q15" i="336" s="1"/>
  <c r="B15" i="336"/>
  <c r="P15" i="336" s="1"/>
  <c r="AJ14" i="336"/>
  <c r="T14" i="336"/>
  <c r="S14" i="336"/>
  <c r="R14" i="336"/>
  <c r="G14" i="336"/>
  <c r="Q14" i="336" s="1"/>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G19" i="335"/>
  <c r="Q19" i="335" s="1"/>
  <c r="B19" i="335"/>
  <c r="P19" i="335" s="1"/>
  <c r="AJ18" i="335"/>
  <c r="T18" i="335"/>
  <c r="S18" i="335"/>
  <c r="R18" i="335"/>
  <c r="G18" i="335"/>
  <c r="Q18" i="335" s="1"/>
  <c r="B18" i="335"/>
  <c r="P18" i="335" s="1"/>
  <c r="AJ17" i="335"/>
  <c r="T17" i="335"/>
  <c r="S17" i="335"/>
  <c r="G17" i="335"/>
  <c r="R17" i="335" s="1"/>
  <c r="B17" i="335"/>
  <c r="P17" i="335" s="1"/>
  <c r="AJ16" i="335"/>
  <c r="T16" i="335"/>
  <c r="S16" i="335"/>
  <c r="R16" i="335"/>
  <c r="G16" i="335"/>
  <c r="Q16" i="335" s="1"/>
  <c r="B16" i="335"/>
  <c r="P16" i="335" s="1"/>
  <c r="AJ15" i="335"/>
  <c r="T15" i="335"/>
  <c r="S15" i="335"/>
  <c r="R15" i="335"/>
  <c r="G15" i="335"/>
  <c r="Q15" i="335" s="1"/>
  <c r="B15" i="335"/>
  <c r="P15" i="335" s="1"/>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G22" i="334"/>
  <c r="Q22" i="334" s="1"/>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G16" i="334"/>
  <c r="Q16" i="334" s="1"/>
  <c r="B16" i="334"/>
  <c r="P16" i="334" s="1"/>
  <c r="AJ15" i="334"/>
  <c r="T15" i="334"/>
  <c r="S15" i="334"/>
  <c r="R15" i="334"/>
  <c r="G15" i="334"/>
  <c r="Q15" i="334" s="1"/>
  <c r="B15" i="334"/>
  <c r="P15" i="334" s="1"/>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G24" i="333"/>
  <c r="Q24" i="333" s="1"/>
  <c r="B24" i="333"/>
  <c r="P24" i="333" s="1"/>
  <c r="AJ23" i="333"/>
  <c r="T23" i="333"/>
  <c r="S23" i="333"/>
  <c r="R23" i="333"/>
  <c r="G23" i="333"/>
  <c r="Q23" i="333" s="1"/>
  <c r="B23" i="333"/>
  <c r="P23" i="333" s="1"/>
  <c r="AJ22" i="333"/>
  <c r="T22" i="333"/>
  <c r="S22" i="333"/>
  <c r="R22" i="333"/>
  <c r="G22" i="333"/>
  <c r="Q22" i="333" s="1"/>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G14" i="333"/>
  <c r="Q14" i="333" s="1"/>
  <c r="B14" i="333"/>
  <c r="P14" i="333" s="1"/>
  <c r="AJ13" i="333"/>
  <c r="T13" i="333"/>
  <c r="S13" i="333"/>
  <c r="R13" i="333"/>
  <c r="G13" i="333"/>
  <c r="Q13" i="333" s="1"/>
  <c r="B13" i="333"/>
  <c r="P13" i="333" s="1"/>
  <c r="B182" i="25"/>
  <c r="O182" i="25" s="1"/>
  <c r="BK182" i="25" s="1"/>
  <c r="A182" i="25"/>
  <c r="B181" i="25"/>
  <c r="O181" i="25" s="1"/>
  <c r="BK181" i="25" s="1"/>
  <c r="A181" i="25"/>
  <c r="B180" i="25"/>
  <c r="O180" i="25" s="1"/>
  <c r="BK180" i="25" s="1"/>
  <c r="A180" i="25"/>
  <c r="B179" i="25"/>
  <c r="O179" i="25" s="1"/>
  <c r="BK179" i="25" s="1"/>
  <c r="A179" i="25"/>
  <c r="B178" i="25"/>
  <c r="O178" i="25" s="1"/>
  <c r="BK178" i="25" s="1"/>
  <c r="A178" i="25"/>
  <c r="B177" i="25"/>
  <c r="O177" i="25" s="1"/>
  <c r="BK177" i="25" s="1"/>
  <c r="A177" i="25"/>
  <c r="B176" i="25"/>
  <c r="O176" i="25" s="1"/>
  <c r="BK176" i="25" s="1"/>
  <c r="A176" i="25"/>
  <c r="B175" i="25"/>
  <c r="O175" i="25" s="1"/>
  <c r="BK175" i="25" s="1"/>
  <c r="A175" i="25"/>
  <c r="B174" i="25"/>
  <c r="O174" i="25" s="1"/>
  <c r="BK174" i="25" s="1"/>
  <c r="A174" i="25"/>
  <c r="B173" i="25"/>
  <c r="O173" i="25" s="1"/>
  <c r="BK173" i="25" s="1"/>
  <c r="A173" i="25"/>
  <c r="B172" i="25"/>
  <c r="O172" i="25" s="1"/>
  <c r="BK172" i="25" s="1"/>
  <c r="A172" i="25"/>
  <c r="B171" i="25"/>
  <c r="O171" i="25" s="1"/>
  <c r="BK171" i="25" s="1"/>
  <c r="A171" i="25"/>
  <c r="B170" i="25"/>
  <c r="O170" i="25" s="1"/>
  <c r="BK170" i="25" s="1"/>
  <c r="A170" i="25"/>
  <c r="B169" i="25"/>
  <c r="O169" i="25" s="1"/>
  <c r="BK169" i="25" s="1"/>
  <c r="A169" i="25"/>
  <c r="B168" i="25"/>
  <c r="O168" i="25" s="1"/>
  <c r="BK168" i="25" s="1"/>
  <c r="A168" i="25"/>
  <c r="B167" i="25"/>
  <c r="O167" i="25" s="1"/>
  <c r="BK167" i="25" s="1"/>
  <c r="A167" i="25"/>
  <c r="B166" i="25"/>
  <c r="O166" i="25" s="1"/>
  <c r="BK166" i="25" s="1"/>
  <c r="A166" i="25"/>
  <c r="B165" i="25"/>
  <c r="O165" i="25" s="1"/>
  <c r="BK165" i="25" s="1"/>
  <c r="A165" i="25"/>
  <c r="B164" i="25"/>
  <c r="O164" i="25" s="1"/>
  <c r="BK164" i="25" s="1"/>
  <c r="A164" i="25"/>
  <c r="B163" i="25"/>
  <c r="O163" i="25" s="1"/>
  <c r="BK163" i="25" s="1"/>
  <c r="A163" i="25"/>
  <c r="B162" i="25"/>
  <c r="O162" i="25" s="1"/>
  <c r="BK162" i="25" s="1"/>
  <c r="A162" i="25"/>
  <c r="B161" i="25"/>
  <c r="O161" i="25" s="1"/>
  <c r="BK161" i="25" s="1"/>
  <c r="A161" i="25"/>
  <c r="B160" i="25"/>
  <c r="O160" i="25" s="1"/>
  <c r="BK160" i="25" s="1"/>
  <c r="A160" i="25"/>
  <c r="B159" i="25"/>
  <c r="O159" i="25" s="1"/>
  <c r="BK159" i="25" s="1"/>
  <c r="A159" i="25"/>
  <c r="B158" i="25"/>
  <c r="O158" i="25" s="1"/>
  <c r="BK158" i="25" s="1"/>
  <c r="A158" i="25"/>
  <c r="B157" i="25"/>
  <c r="O157" i="25" s="1"/>
  <c r="BK157" i="25" s="1"/>
  <c r="A157" i="25"/>
  <c r="B156" i="25"/>
  <c r="O156" i="25" s="1"/>
  <c r="BK156" i="25" s="1"/>
  <c r="A156" i="25"/>
  <c r="B155" i="25"/>
  <c r="O155" i="25" s="1"/>
  <c r="BK155" i="25" s="1"/>
  <c r="A155" i="25"/>
  <c r="AM166" i="25"/>
  <c r="AM174" i="25"/>
  <c r="AM156" i="25"/>
  <c r="AM172" i="25"/>
  <c r="AM155" i="25"/>
  <c r="AM182" i="25"/>
  <c r="AM171" i="25"/>
  <c r="AM163" i="25"/>
  <c r="AM162" i="25"/>
  <c r="AM158" i="25"/>
  <c r="AM167" i="25"/>
  <c r="AM177" i="25"/>
  <c r="AM176" i="25"/>
  <c r="AM159" i="25"/>
  <c r="AM178" i="25"/>
  <c r="AM164" i="25"/>
  <c r="AM181" i="25"/>
  <c r="AM169" i="25"/>
  <c r="AM157" i="25"/>
  <c r="AM168" i="25"/>
  <c r="AM179" i="25"/>
  <c r="AM160" i="25"/>
  <c r="AM180" i="25"/>
  <c r="AM161" i="25"/>
  <c r="AM165" i="25"/>
  <c r="AM173" i="25"/>
  <c r="AM175" i="25"/>
  <c r="AM170" i="25"/>
  <c r="Q22" i="352" l="1"/>
  <c r="Q17" i="339"/>
  <c r="Q17" i="342"/>
  <c r="Q17" i="346"/>
  <c r="Q23" i="352"/>
  <c r="Q17" i="347"/>
  <c r="Q22" i="346"/>
  <c r="Q17" i="345"/>
  <c r="Q17" i="344"/>
  <c r="Q17" i="343"/>
  <c r="Q17" i="341"/>
  <c r="Q17" i="340"/>
  <c r="Q17" i="338"/>
  <c r="R17" i="337"/>
  <c r="Q17" i="336"/>
  <c r="Q17" i="335"/>
  <c r="R17" i="334"/>
  <c r="Q17" i="333"/>
  <c r="B153" i="25"/>
  <c r="O153" i="25" s="1"/>
  <c r="BK153" i="25" s="1"/>
  <c r="A153" i="25"/>
  <c r="B152" i="25"/>
  <c r="O152" i="25" s="1"/>
  <c r="BK152" i="25" s="1"/>
  <c r="A152" i="25"/>
  <c r="AJ32" i="332"/>
  <c r="T32" i="332"/>
  <c r="S32" i="332"/>
  <c r="R32" i="332"/>
  <c r="P32" i="332"/>
  <c r="G32" i="332"/>
  <c r="Q32" i="332" s="1"/>
  <c r="B32" i="332"/>
  <c r="AJ31" i="332"/>
  <c r="T31" i="332"/>
  <c r="S31" i="332"/>
  <c r="R31" i="332"/>
  <c r="Q31" i="332"/>
  <c r="P31" i="332"/>
  <c r="G31" i="332"/>
  <c r="B31" i="332"/>
  <c r="AJ30" i="332"/>
  <c r="T30" i="332"/>
  <c r="S30" i="332"/>
  <c r="R30" i="332"/>
  <c r="G30" i="332"/>
  <c r="Q30" i="332" s="1"/>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G24" i="332"/>
  <c r="Q24" i="332" s="1"/>
  <c r="B24" i="332"/>
  <c r="P24" i="332" s="1"/>
  <c r="AJ23" i="332"/>
  <c r="T23" i="332"/>
  <c r="S23" i="332"/>
  <c r="R23" i="332"/>
  <c r="Q23" i="332"/>
  <c r="G23" i="332"/>
  <c r="B23" i="332"/>
  <c r="P23" i="332" s="1"/>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G16" i="332"/>
  <c r="Q16" i="332" s="1"/>
  <c r="B16" i="332"/>
  <c r="P16" i="332" s="1"/>
  <c r="AJ15" i="332"/>
  <c r="T15" i="332"/>
  <c r="S15" i="332"/>
  <c r="R15" i="332"/>
  <c r="Q15" i="332"/>
  <c r="G15" i="332"/>
  <c r="B15" i="332"/>
  <c r="P15" i="332" s="1"/>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G15" i="331"/>
  <c r="Q15" i="331" s="1"/>
  <c r="B15" i="331"/>
  <c r="P15" i="331" s="1"/>
  <c r="AJ13" i="331"/>
  <c r="T13" i="331"/>
  <c r="S13" i="331"/>
  <c r="R13" i="331"/>
  <c r="G13" i="331"/>
  <c r="Q13" i="331" s="1"/>
  <c r="B13" i="331"/>
  <c r="P13" i="331" s="1"/>
  <c r="D9" i="331"/>
  <c r="BK7" i="25"/>
  <c r="B7" i="25"/>
  <c r="A7" i="25"/>
  <c r="BK6" i="25"/>
  <c r="A6" i="25"/>
  <c r="AM153" i="25"/>
  <c r="AM6" i="25"/>
  <c r="AM152" i="25"/>
  <c r="AE153" i="25"/>
  <c r="AM7" i="25"/>
  <c r="D4" i="331" l="1"/>
  <c r="D6" i="332"/>
  <c r="D5" i="331"/>
  <c r="D8" i="331" s="1"/>
  <c r="D5" i="332"/>
  <c r="D8" i="332" s="1"/>
  <c r="D4" i="332"/>
  <c r="D6" i="331"/>
  <c r="C28" i="176"/>
  <c r="W28" i="176" s="1"/>
  <c r="E34" i="176"/>
  <c r="T31" i="176"/>
  <c r="E31" i="176"/>
  <c r="W29" i="176"/>
  <c r="W27" i="176"/>
  <c r="T19" i="176"/>
  <c r="C16" i="176"/>
  <c r="W5" i="176" l="1"/>
  <c r="E7" i="176"/>
  <c r="T7" i="176"/>
  <c r="C4" i="176"/>
  <c r="W4" i="176" s="1"/>
  <c r="W3" i="176"/>
  <c r="E22" i="176"/>
  <c r="E992" i="174" l="1"/>
  <c r="T989" i="174"/>
  <c r="R989" i="174"/>
  <c r="C987" i="174" s="1"/>
  <c r="W987" i="174" s="1"/>
  <c r="W985" i="174"/>
  <c r="E980" i="174"/>
  <c r="T977" i="174"/>
  <c r="R977" i="174"/>
  <c r="C975" i="174" s="1"/>
  <c r="W975" i="174" s="1"/>
  <c r="W973" i="174"/>
  <c r="E968" i="174"/>
  <c r="T965" i="174"/>
  <c r="R965" i="174"/>
  <c r="C963" i="174" s="1"/>
  <c r="W963" i="174" s="1"/>
  <c r="W961" i="174"/>
  <c r="E956" i="174"/>
  <c r="T953" i="174"/>
  <c r="R953" i="174"/>
  <c r="C950" i="174" s="1"/>
  <c r="W950" i="174" s="1"/>
  <c r="W949" i="174"/>
  <c r="E944" i="174"/>
  <c r="T941" i="174"/>
  <c r="R941" i="174"/>
  <c r="C939" i="174" s="1"/>
  <c r="W939" i="174" s="1"/>
  <c r="W937" i="174"/>
  <c r="E932" i="174"/>
  <c r="T929" i="174"/>
  <c r="R929" i="174"/>
  <c r="C927" i="174" s="1"/>
  <c r="W927" i="174" s="1"/>
  <c r="W925" i="174"/>
  <c r="E920" i="174"/>
  <c r="T917" i="174"/>
  <c r="R917" i="174"/>
  <c r="C915" i="174" s="1"/>
  <c r="W915" i="174" s="1"/>
  <c r="W913" i="174"/>
  <c r="E908" i="174"/>
  <c r="T905" i="174"/>
  <c r="R905" i="174"/>
  <c r="C903" i="174" s="1"/>
  <c r="W903" i="174" s="1"/>
  <c r="W901" i="174"/>
  <c r="E896" i="174"/>
  <c r="T893" i="174"/>
  <c r="R893" i="174"/>
  <c r="C891" i="174" s="1"/>
  <c r="W891" i="174" s="1"/>
  <c r="W889" i="174"/>
  <c r="E884" i="174"/>
  <c r="T881" i="174"/>
  <c r="R881" i="174"/>
  <c r="C879" i="174" s="1"/>
  <c r="W879" i="174" s="1"/>
  <c r="W877" i="174"/>
  <c r="E872" i="174"/>
  <c r="T869" i="174"/>
  <c r="R869" i="174"/>
  <c r="C867" i="174" s="1"/>
  <c r="W867" i="174" s="1"/>
  <c r="W865" i="174"/>
  <c r="E860" i="174"/>
  <c r="T857" i="174"/>
  <c r="R857" i="174"/>
  <c r="C855" i="174" s="1"/>
  <c r="W855" i="174" s="1"/>
  <c r="W853" i="174"/>
  <c r="E848" i="174"/>
  <c r="T845" i="174"/>
  <c r="R845" i="174"/>
  <c r="C843" i="174" s="1"/>
  <c r="W843" i="174" s="1"/>
  <c r="W841" i="174"/>
  <c r="E836" i="174"/>
  <c r="T833" i="174"/>
  <c r="R833" i="174"/>
  <c r="C831" i="174" s="1"/>
  <c r="W831" i="174" s="1"/>
  <c r="W829" i="174"/>
  <c r="E824" i="174"/>
  <c r="T821" i="174"/>
  <c r="R821" i="174"/>
  <c r="C819" i="174" s="1"/>
  <c r="W819" i="174" s="1"/>
  <c r="W817" i="174"/>
  <c r="E812" i="174"/>
  <c r="T809" i="174"/>
  <c r="R809" i="174"/>
  <c r="C807" i="174" s="1"/>
  <c r="W807" i="174" s="1"/>
  <c r="W805" i="174"/>
  <c r="E800" i="174"/>
  <c r="T797" i="174"/>
  <c r="R797" i="174"/>
  <c r="C794" i="174" s="1"/>
  <c r="W794" i="174" s="1"/>
  <c r="W793" i="174"/>
  <c r="E788" i="174"/>
  <c r="T785" i="174"/>
  <c r="R785" i="174"/>
  <c r="C783" i="174" s="1"/>
  <c r="W783" i="174" s="1"/>
  <c r="W781" i="174"/>
  <c r="E776" i="174"/>
  <c r="T773" i="174"/>
  <c r="R773" i="174"/>
  <c r="C770" i="174" s="1"/>
  <c r="W770" i="174" s="1"/>
  <c r="W769" i="174"/>
  <c r="E764" i="174"/>
  <c r="T761" i="174"/>
  <c r="R761" i="174"/>
  <c r="C759" i="174" s="1"/>
  <c r="W759" i="174" s="1"/>
  <c r="W757" i="174"/>
  <c r="E752" i="174"/>
  <c r="T749" i="174"/>
  <c r="R749" i="174"/>
  <c r="C747" i="174" s="1"/>
  <c r="W747" i="174" s="1"/>
  <c r="W745" i="174"/>
  <c r="E740" i="174"/>
  <c r="T737" i="174"/>
  <c r="R737" i="174"/>
  <c r="C735" i="174" s="1"/>
  <c r="W735" i="174" s="1"/>
  <c r="W733" i="174"/>
  <c r="E728" i="174"/>
  <c r="T725" i="174"/>
  <c r="R725" i="174"/>
  <c r="C723" i="174" s="1"/>
  <c r="W723" i="174" s="1"/>
  <c r="W721" i="174"/>
  <c r="E716" i="174"/>
  <c r="T713" i="174"/>
  <c r="R713" i="174"/>
  <c r="C711" i="174" s="1"/>
  <c r="W711" i="174" s="1"/>
  <c r="W709" i="174"/>
  <c r="E704" i="174"/>
  <c r="T701" i="174"/>
  <c r="R701" i="174"/>
  <c r="C699" i="174" s="1"/>
  <c r="W699" i="174" s="1"/>
  <c r="W697" i="174"/>
  <c r="E692" i="174"/>
  <c r="T689" i="174"/>
  <c r="R689" i="174"/>
  <c r="C687" i="174" s="1"/>
  <c r="W687" i="174" s="1"/>
  <c r="W685" i="174"/>
  <c r="E680" i="174"/>
  <c r="T677" i="174"/>
  <c r="R677" i="174"/>
  <c r="C675" i="174" s="1"/>
  <c r="W675" i="174" s="1"/>
  <c r="W673" i="174"/>
  <c r="E668" i="174"/>
  <c r="T665" i="174"/>
  <c r="R665" i="174"/>
  <c r="C663" i="174" s="1"/>
  <c r="W663" i="174" s="1"/>
  <c r="W661" i="174"/>
  <c r="E656" i="174"/>
  <c r="T653" i="174"/>
  <c r="R653" i="174"/>
  <c r="C651" i="174" s="1"/>
  <c r="W651" i="174" s="1"/>
  <c r="W649" i="174"/>
  <c r="E644" i="174"/>
  <c r="T641" i="174"/>
  <c r="R641" i="174"/>
  <c r="C639" i="174" s="1"/>
  <c r="W639" i="174" s="1"/>
  <c r="W637" i="174"/>
  <c r="E632" i="174"/>
  <c r="T629" i="174"/>
  <c r="R629" i="174"/>
  <c r="C627" i="174" s="1"/>
  <c r="W627" i="174" s="1"/>
  <c r="W625" i="174"/>
  <c r="E620" i="174"/>
  <c r="T617" i="174"/>
  <c r="R617" i="174"/>
  <c r="C615" i="174" s="1"/>
  <c r="W615" i="174" s="1"/>
  <c r="W613" i="174"/>
  <c r="T608" i="174"/>
  <c r="R608" i="174"/>
  <c r="C606" i="174" s="1"/>
  <c r="W606" i="174" s="1"/>
  <c r="W604" i="174"/>
  <c r="T599" i="174"/>
  <c r="R599" i="174"/>
  <c r="C597" i="174" s="1"/>
  <c r="W597" i="174" s="1"/>
  <c r="W595" i="174"/>
  <c r="T590" i="174"/>
  <c r="R590" i="174"/>
  <c r="C588" i="174" s="1"/>
  <c r="W588" i="174" s="1"/>
  <c r="W586" i="174"/>
  <c r="T581" i="174"/>
  <c r="R581" i="174"/>
  <c r="C579" i="174" s="1"/>
  <c r="W579" i="174" s="1"/>
  <c r="W577" i="174"/>
  <c r="T572" i="174"/>
  <c r="R572" i="174"/>
  <c r="C570" i="174" s="1"/>
  <c r="W570" i="174" s="1"/>
  <c r="W568" i="174"/>
  <c r="T563" i="174"/>
  <c r="R563" i="174"/>
  <c r="C561" i="174" s="1"/>
  <c r="W561" i="174" s="1"/>
  <c r="W559" i="174"/>
  <c r="T554" i="174"/>
  <c r="R554" i="174"/>
  <c r="C552" i="174" s="1"/>
  <c r="W552" i="174" s="1"/>
  <c r="W550" i="174"/>
  <c r="T545" i="174"/>
  <c r="R545" i="174"/>
  <c r="C543" i="174" s="1"/>
  <c r="W543" i="174" s="1"/>
  <c r="W541" i="174"/>
  <c r="T536" i="174"/>
  <c r="R536" i="174"/>
  <c r="C534" i="174" s="1"/>
  <c r="W534" i="174" s="1"/>
  <c r="W532" i="174"/>
  <c r="T527" i="174"/>
  <c r="R527" i="174"/>
  <c r="C525" i="174" s="1"/>
  <c r="W525" i="174" s="1"/>
  <c r="W523" i="174"/>
  <c r="T518" i="174"/>
  <c r="R518" i="174"/>
  <c r="C516" i="174" s="1"/>
  <c r="W516" i="174" s="1"/>
  <c r="W514" i="174"/>
  <c r="T509" i="174"/>
  <c r="R509" i="174"/>
  <c r="C507" i="174" s="1"/>
  <c r="W507" i="174" s="1"/>
  <c r="W505" i="174"/>
  <c r="T500" i="174"/>
  <c r="R500" i="174"/>
  <c r="C497" i="174" s="1"/>
  <c r="W497" i="174" s="1"/>
  <c r="W496" i="174"/>
  <c r="T491" i="174"/>
  <c r="R491" i="174"/>
  <c r="C489" i="174" s="1"/>
  <c r="W489" i="174" s="1"/>
  <c r="W487" i="174"/>
  <c r="T482" i="174"/>
  <c r="R482" i="174"/>
  <c r="C480" i="174" s="1"/>
  <c r="W480" i="174" s="1"/>
  <c r="W478" i="174"/>
  <c r="T473" i="174"/>
  <c r="R473" i="174"/>
  <c r="C471" i="174" s="1"/>
  <c r="W471" i="174" s="1"/>
  <c r="W469" i="174"/>
  <c r="T464" i="174"/>
  <c r="R464" i="174"/>
  <c r="C462" i="174" s="1"/>
  <c r="W462" i="174" s="1"/>
  <c r="W460" i="174"/>
  <c r="T455" i="174"/>
  <c r="R455" i="174"/>
  <c r="C453" i="174" s="1"/>
  <c r="W453" i="174" s="1"/>
  <c r="W451" i="174"/>
  <c r="T446" i="174"/>
  <c r="R446" i="174"/>
  <c r="C444" i="174" s="1"/>
  <c r="W444" i="174" s="1"/>
  <c r="W442" i="174"/>
  <c r="T437" i="174"/>
  <c r="R437" i="174"/>
  <c r="C435" i="174" s="1"/>
  <c r="W435" i="174" s="1"/>
  <c r="W433" i="174"/>
  <c r="T428" i="174"/>
  <c r="R428" i="174"/>
  <c r="C426" i="174" s="1"/>
  <c r="W426" i="174" s="1"/>
  <c r="W424" i="174"/>
  <c r="T419" i="174"/>
  <c r="R419" i="174"/>
  <c r="C417" i="174" s="1"/>
  <c r="W417" i="174" s="1"/>
  <c r="W415" i="174"/>
  <c r="T410" i="174"/>
  <c r="R410" i="174"/>
  <c r="C408" i="174" s="1"/>
  <c r="W408" i="174" s="1"/>
  <c r="W406" i="174"/>
  <c r="T401" i="174"/>
  <c r="R401" i="174"/>
  <c r="C399" i="174" s="1"/>
  <c r="W399" i="174" s="1"/>
  <c r="W397" i="174"/>
  <c r="T392" i="174"/>
  <c r="R392" i="174"/>
  <c r="C390" i="174" s="1"/>
  <c r="W390" i="174" s="1"/>
  <c r="W388" i="174"/>
  <c r="T383" i="174"/>
  <c r="R383" i="174"/>
  <c r="C381" i="174" s="1"/>
  <c r="W381" i="174" s="1"/>
  <c r="W379" i="174"/>
  <c r="T374" i="174"/>
  <c r="R374" i="174"/>
  <c r="C372" i="174" s="1"/>
  <c r="W372" i="174" s="1"/>
  <c r="W370" i="174"/>
  <c r="T365" i="174"/>
  <c r="R365" i="174"/>
  <c r="C363" i="174" s="1"/>
  <c r="W363" i="174" s="1"/>
  <c r="W361" i="174"/>
  <c r="T356" i="174"/>
  <c r="R356" i="174"/>
  <c r="C354" i="174" s="1"/>
  <c r="W354" i="174" s="1"/>
  <c r="W352" i="174"/>
  <c r="T347" i="174"/>
  <c r="R347" i="174"/>
  <c r="C345" i="174" s="1"/>
  <c r="W345" i="174" s="1"/>
  <c r="W343" i="174"/>
  <c r="T338" i="174"/>
  <c r="R338" i="174"/>
  <c r="C336" i="174" s="1"/>
  <c r="W336" i="174" s="1"/>
  <c r="W334" i="174"/>
  <c r="T329" i="174"/>
  <c r="R329" i="174"/>
  <c r="C327" i="174" s="1"/>
  <c r="W327" i="174" s="1"/>
  <c r="W325" i="174"/>
  <c r="T320" i="174"/>
  <c r="R320" i="174"/>
  <c r="C318" i="174" s="1"/>
  <c r="W318" i="174" s="1"/>
  <c r="W316" i="174"/>
  <c r="T311" i="174"/>
  <c r="R311" i="174"/>
  <c r="C309" i="174" s="1"/>
  <c r="W309" i="174" s="1"/>
  <c r="W307" i="174"/>
  <c r="T302" i="174"/>
  <c r="R302" i="174"/>
  <c r="C300" i="174" s="1"/>
  <c r="W300" i="174" s="1"/>
  <c r="W298" i="174"/>
  <c r="T293" i="174"/>
  <c r="R293" i="174"/>
  <c r="C291" i="174" s="1"/>
  <c r="W291" i="174" s="1"/>
  <c r="W289" i="174"/>
  <c r="T284" i="174"/>
  <c r="R284" i="174"/>
  <c r="C282" i="174" s="1"/>
  <c r="W282" i="174" s="1"/>
  <c r="W280" i="174"/>
  <c r="T275" i="174"/>
  <c r="R275" i="174"/>
  <c r="C273" i="174" s="1"/>
  <c r="W273" i="174" s="1"/>
  <c r="W271" i="174"/>
  <c r="T266" i="174"/>
  <c r="R266" i="174"/>
  <c r="C263" i="174" s="1"/>
  <c r="W263" i="174" s="1"/>
  <c r="W262" i="174"/>
  <c r="T257" i="174"/>
  <c r="R257" i="174"/>
  <c r="C255" i="174" s="1"/>
  <c r="W255" i="174" s="1"/>
  <c r="W253" i="174"/>
  <c r="T248" i="174"/>
  <c r="R248" i="174"/>
  <c r="C246" i="174" s="1"/>
  <c r="W246" i="174" s="1"/>
  <c r="W244" i="174"/>
  <c r="T239" i="174"/>
  <c r="R239" i="174"/>
  <c r="C236" i="174" s="1"/>
  <c r="W236" i="174" s="1"/>
  <c r="W235" i="174"/>
  <c r="T230" i="174"/>
  <c r="R230" i="174"/>
  <c r="C228" i="174" s="1"/>
  <c r="W228" i="174" s="1"/>
  <c r="W226" i="174"/>
  <c r="T221" i="174"/>
  <c r="R221" i="174"/>
  <c r="C219" i="174" s="1"/>
  <c r="W219" i="174" s="1"/>
  <c r="W217" i="174"/>
  <c r="T212" i="174"/>
  <c r="R212" i="174"/>
  <c r="C210" i="174" s="1"/>
  <c r="W210" i="174" s="1"/>
  <c r="W208" i="174"/>
  <c r="T203" i="174"/>
  <c r="R203" i="174"/>
  <c r="C201" i="174" s="1"/>
  <c r="W201" i="174" s="1"/>
  <c r="W199" i="174"/>
  <c r="T194" i="174"/>
  <c r="R194" i="174"/>
  <c r="C192" i="174" s="1"/>
  <c r="W192" i="174" s="1"/>
  <c r="W190" i="174"/>
  <c r="T185" i="174"/>
  <c r="R185" i="174"/>
  <c r="C183" i="174" s="1"/>
  <c r="W183" i="174" s="1"/>
  <c r="W181" i="174"/>
  <c r="R176" i="174"/>
  <c r="C173" i="174" s="1"/>
  <c r="W173" i="174" s="1"/>
  <c r="T176" i="174"/>
  <c r="W172" i="174"/>
  <c r="E167" i="174"/>
  <c r="T164" i="174"/>
  <c r="R164" i="174"/>
  <c r="C162" i="174" s="1"/>
  <c r="W162" i="174" s="1"/>
  <c r="W160" i="174"/>
  <c r="E155" i="174"/>
  <c r="T152" i="174"/>
  <c r="R152" i="174"/>
  <c r="C149" i="174" s="1"/>
  <c r="W149" i="174" s="1"/>
  <c r="W148" i="174"/>
  <c r="E143" i="174"/>
  <c r="T140" i="174"/>
  <c r="R140" i="174"/>
  <c r="C137" i="174" s="1"/>
  <c r="W137" i="174" s="1"/>
  <c r="W136" i="174"/>
  <c r="E131" i="174"/>
  <c r="T128" i="174"/>
  <c r="R128" i="174"/>
  <c r="C126" i="174" s="1"/>
  <c r="W126" i="174" s="1"/>
  <c r="W124" i="174"/>
  <c r="E119" i="174"/>
  <c r="T116" i="174"/>
  <c r="R116" i="174"/>
  <c r="C114" i="174" s="1"/>
  <c r="W114" i="174" s="1"/>
  <c r="W112" i="174"/>
  <c r="E107" i="174"/>
  <c r="T104" i="174"/>
  <c r="R104" i="174"/>
  <c r="C102" i="174" s="1"/>
  <c r="W102" i="174" s="1"/>
  <c r="W100" i="174"/>
  <c r="E95" i="174"/>
  <c r="T92" i="174"/>
  <c r="R92" i="174"/>
  <c r="C90" i="174" s="1"/>
  <c r="W90" i="174" s="1"/>
  <c r="W88" i="174"/>
  <c r="E83" i="174"/>
  <c r="T80" i="174"/>
  <c r="R80" i="174"/>
  <c r="C78" i="174" s="1"/>
  <c r="W78" i="174" s="1"/>
  <c r="W76" i="174"/>
  <c r="T71" i="174"/>
  <c r="R71" i="174"/>
  <c r="C69" i="174" s="1"/>
  <c r="W69" i="174" s="1"/>
  <c r="W67" i="174"/>
  <c r="E62" i="174"/>
  <c r="T59" i="174"/>
  <c r="R59" i="174"/>
  <c r="C57" i="174" s="1"/>
  <c r="W57" i="174" s="1"/>
  <c r="W55" i="174"/>
  <c r="C974" i="174" l="1"/>
  <c r="W974" i="174" s="1"/>
  <c r="C89" i="174"/>
  <c r="W89" i="174" s="1"/>
  <c r="C551" i="174"/>
  <c r="W551" i="174" s="1"/>
  <c r="C398" i="174"/>
  <c r="W398" i="174" s="1"/>
  <c r="C542" i="174"/>
  <c r="W542" i="174" s="1"/>
  <c r="C174" i="174"/>
  <c r="W174" i="174" s="1"/>
  <c r="C524" i="174"/>
  <c r="W524" i="174" s="1"/>
  <c r="C626" i="174"/>
  <c r="W626" i="174" s="1"/>
  <c r="C461" i="174"/>
  <c r="W461" i="174" s="1"/>
  <c r="C962" i="174"/>
  <c r="W962" i="174" s="1"/>
  <c r="C569" i="174"/>
  <c r="W569" i="174" s="1"/>
  <c r="C264" i="174"/>
  <c r="W264" i="174" s="1"/>
  <c r="C425" i="174"/>
  <c r="W425" i="174" s="1"/>
  <c r="C596" i="174"/>
  <c r="W596" i="174" s="1"/>
  <c r="C758" i="174"/>
  <c r="W758" i="174" s="1"/>
  <c r="C498" i="174"/>
  <c r="W498" i="174" s="1"/>
  <c r="C986" i="174"/>
  <c r="W986" i="174" s="1"/>
  <c r="C951" i="174"/>
  <c r="W951" i="174" s="1"/>
  <c r="C938" i="174"/>
  <c r="W938" i="174" s="1"/>
  <c r="C926" i="174"/>
  <c r="W926" i="174" s="1"/>
  <c r="C914" i="174"/>
  <c r="W914" i="174" s="1"/>
  <c r="C902" i="174"/>
  <c r="W902" i="174" s="1"/>
  <c r="C890" i="174"/>
  <c r="W890" i="174" s="1"/>
  <c r="C878" i="174"/>
  <c r="W878" i="174" s="1"/>
  <c r="C866" i="174"/>
  <c r="W866" i="174" s="1"/>
  <c r="C854" i="174"/>
  <c r="W854" i="174" s="1"/>
  <c r="C842" i="174"/>
  <c r="W842" i="174" s="1"/>
  <c r="C830" i="174"/>
  <c r="W830" i="174" s="1"/>
  <c r="C818" i="174"/>
  <c r="W818" i="174" s="1"/>
  <c r="C806" i="174"/>
  <c r="W806" i="174" s="1"/>
  <c r="C795" i="174"/>
  <c r="W795" i="174" s="1"/>
  <c r="C782" i="174"/>
  <c r="W782" i="174" s="1"/>
  <c r="C771" i="174"/>
  <c r="W771" i="174" s="1"/>
  <c r="C746" i="174"/>
  <c r="W746" i="174" s="1"/>
  <c r="C734" i="174"/>
  <c r="W734" i="174" s="1"/>
  <c r="C722" i="174"/>
  <c r="W722" i="174" s="1"/>
  <c r="C710" i="174"/>
  <c r="W710" i="174" s="1"/>
  <c r="C698" i="174"/>
  <c r="W698" i="174" s="1"/>
  <c r="C686" i="174"/>
  <c r="W686" i="174" s="1"/>
  <c r="C674" i="174"/>
  <c r="W674" i="174" s="1"/>
  <c r="C662" i="174"/>
  <c r="W662" i="174" s="1"/>
  <c r="C650" i="174"/>
  <c r="W650" i="174" s="1"/>
  <c r="C638" i="174"/>
  <c r="W638" i="174" s="1"/>
  <c r="C614" i="174"/>
  <c r="W614" i="174" s="1"/>
  <c r="C605" i="174"/>
  <c r="W605" i="174" s="1"/>
  <c r="C587" i="174"/>
  <c r="W587" i="174" s="1"/>
  <c r="C578" i="174"/>
  <c r="W578" i="174" s="1"/>
  <c r="C560" i="174"/>
  <c r="W560" i="174" s="1"/>
  <c r="C533" i="174"/>
  <c r="W533" i="174" s="1"/>
  <c r="C515" i="174"/>
  <c r="W515" i="174" s="1"/>
  <c r="C506" i="174"/>
  <c r="W506" i="174" s="1"/>
  <c r="C488" i="174"/>
  <c r="W488" i="174" s="1"/>
  <c r="C479" i="174"/>
  <c r="W479" i="174" s="1"/>
  <c r="C470" i="174"/>
  <c r="W470" i="174" s="1"/>
  <c r="C452" i="174"/>
  <c r="W452" i="174" s="1"/>
  <c r="C443" i="174"/>
  <c r="W443" i="174" s="1"/>
  <c r="C434" i="174"/>
  <c r="W434" i="174" s="1"/>
  <c r="C416" i="174"/>
  <c r="W416" i="174" s="1"/>
  <c r="C407" i="174"/>
  <c r="W407" i="174" s="1"/>
  <c r="C389" i="174"/>
  <c r="W389" i="174" s="1"/>
  <c r="C380" i="174"/>
  <c r="W380" i="174" s="1"/>
  <c r="C371" i="174"/>
  <c r="W371" i="174" s="1"/>
  <c r="C362" i="174"/>
  <c r="W362" i="174" s="1"/>
  <c r="C353" i="174"/>
  <c r="W353" i="174" s="1"/>
  <c r="C344" i="174"/>
  <c r="W344" i="174" s="1"/>
  <c r="C335" i="174"/>
  <c r="W335" i="174" s="1"/>
  <c r="C326" i="174"/>
  <c r="W326" i="174" s="1"/>
  <c r="C317" i="174"/>
  <c r="W317" i="174" s="1"/>
  <c r="C308" i="174"/>
  <c r="W308" i="174" s="1"/>
  <c r="C299" i="174"/>
  <c r="W299" i="174" s="1"/>
  <c r="C290" i="174"/>
  <c r="W290" i="174" s="1"/>
  <c r="C281" i="174"/>
  <c r="W281" i="174" s="1"/>
  <c r="C272" i="174"/>
  <c r="W272" i="174" s="1"/>
  <c r="C254" i="174"/>
  <c r="W254" i="174" s="1"/>
  <c r="C245" i="174"/>
  <c r="W245" i="174" s="1"/>
  <c r="C237" i="174"/>
  <c r="W237" i="174" s="1"/>
  <c r="C227" i="174"/>
  <c r="W227" i="174" s="1"/>
  <c r="C218" i="174"/>
  <c r="W218" i="174" s="1"/>
  <c r="C209" i="174"/>
  <c r="W209" i="174" s="1"/>
  <c r="C200" i="174"/>
  <c r="W200" i="174" s="1"/>
  <c r="C191" i="174"/>
  <c r="W191" i="174" s="1"/>
  <c r="C182" i="174"/>
  <c r="W182" i="174" s="1"/>
  <c r="C161" i="174"/>
  <c r="W161" i="174" s="1"/>
  <c r="C150" i="174"/>
  <c r="W150" i="174" s="1"/>
  <c r="C138" i="174"/>
  <c r="W138" i="174" s="1"/>
  <c r="C125" i="174"/>
  <c r="W125" i="174" s="1"/>
  <c r="C113" i="174"/>
  <c r="W113" i="174" s="1"/>
  <c r="C101" i="174"/>
  <c r="W101" i="174" s="1"/>
  <c r="C77" i="174"/>
  <c r="W77" i="174" s="1"/>
  <c r="C68" i="174"/>
  <c r="W68" i="174" s="1"/>
  <c r="C56" i="174"/>
  <c r="W56" i="174" s="1"/>
  <c r="E50" i="174" l="1"/>
  <c r="T47" i="174"/>
  <c r="R47" i="174"/>
  <c r="C45" i="174" s="1"/>
  <c r="W45" i="174" s="1"/>
  <c r="W43" i="174"/>
  <c r="E38" i="174"/>
  <c r="T35" i="174"/>
  <c r="R35" i="174"/>
  <c r="C33" i="174" s="1"/>
  <c r="W33" i="174" s="1"/>
  <c r="W31" i="174"/>
  <c r="E1544" i="174"/>
  <c r="T1541" i="174"/>
  <c r="R1541" i="174"/>
  <c r="C1539" i="174" s="1"/>
  <c r="W1539" i="174" s="1"/>
  <c r="W1537" i="174"/>
  <c r="E1532" i="174"/>
  <c r="T1529" i="174"/>
  <c r="R1529" i="174"/>
  <c r="C1527" i="174" s="1"/>
  <c r="W1527" i="174" s="1"/>
  <c r="W1525" i="174"/>
  <c r="E1520" i="174"/>
  <c r="T1517" i="174"/>
  <c r="R1517" i="174"/>
  <c r="C1515" i="174" s="1"/>
  <c r="W1515" i="174" s="1"/>
  <c r="W1513" i="174"/>
  <c r="E1508" i="174"/>
  <c r="T1505" i="174"/>
  <c r="R1505" i="174"/>
  <c r="C1503" i="174" s="1"/>
  <c r="W1503" i="174" s="1"/>
  <c r="W1501" i="174"/>
  <c r="E1496" i="174"/>
  <c r="T1493" i="174"/>
  <c r="R1493" i="174"/>
  <c r="C1491" i="174" s="1"/>
  <c r="W1491" i="174" s="1"/>
  <c r="W1489" i="174"/>
  <c r="E1484" i="174"/>
  <c r="T1481" i="174"/>
  <c r="R1481" i="174"/>
  <c r="C1479" i="174" s="1"/>
  <c r="W1479" i="174" s="1"/>
  <c r="W1477" i="174"/>
  <c r="E1472" i="174"/>
  <c r="T1469" i="174"/>
  <c r="R1469" i="174"/>
  <c r="C1466" i="174" s="1"/>
  <c r="W1466" i="174" s="1"/>
  <c r="W1465" i="174"/>
  <c r="E1460" i="174"/>
  <c r="T1457" i="174"/>
  <c r="R1457" i="174"/>
  <c r="C1454" i="174" s="1"/>
  <c r="W1454" i="174" s="1"/>
  <c r="W1453" i="174"/>
  <c r="E1448" i="174"/>
  <c r="T1445" i="174"/>
  <c r="R1445" i="174"/>
  <c r="C1442" i="174" s="1"/>
  <c r="W1442" i="174" s="1"/>
  <c r="W1441" i="174"/>
  <c r="E1436" i="174"/>
  <c r="T1433" i="174"/>
  <c r="R1433" i="174"/>
  <c r="C1431" i="174" s="1"/>
  <c r="W1431" i="174" s="1"/>
  <c r="W1429" i="174"/>
  <c r="E1424" i="174"/>
  <c r="T1421" i="174"/>
  <c r="R1421" i="174"/>
  <c r="C1418" i="174" s="1"/>
  <c r="W1418" i="174" s="1"/>
  <c r="W1417" i="174"/>
  <c r="E1412" i="174"/>
  <c r="T1409" i="174"/>
  <c r="R1409" i="174"/>
  <c r="C1407" i="174" s="1"/>
  <c r="W1407" i="174" s="1"/>
  <c r="W1405" i="174"/>
  <c r="E1400" i="174"/>
  <c r="T1397" i="174"/>
  <c r="R1397" i="174"/>
  <c r="C1395" i="174" s="1"/>
  <c r="W1395" i="174" s="1"/>
  <c r="W1393" i="174"/>
  <c r="E1388" i="174"/>
  <c r="T1385" i="174"/>
  <c r="R1385" i="174"/>
  <c r="C1383" i="174" s="1"/>
  <c r="W1383" i="174" s="1"/>
  <c r="W1381" i="174"/>
  <c r="E1376" i="174"/>
  <c r="T1373" i="174"/>
  <c r="R1373" i="174"/>
  <c r="C1371" i="174" s="1"/>
  <c r="W1371" i="174" s="1"/>
  <c r="W1369" i="174"/>
  <c r="E1364" i="174"/>
  <c r="T1361" i="174"/>
  <c r="R1361" i="174"/>
  <c r="C1358" i="174" s="1"/>
  <c r="W1358" i="174" s="1"/>
  <c r="W1357" i="174"/>
  <c r="E1352" i="174"/>
  <c r="T1349" i="174"/>
  <c r="R1349" i="174"/>
  <c r="C1347" i="174" s="1"/>
  <c r="W1347" i="174" s="1"/>
  <c r="W1345" i="174"/>
  <c r="E1340" i="174"/>
  <c r="T1337" i="174"/>
  <c r="R1337" i="174"/>
  <c r="C1334" i="174" s="1"/>
  <c r="W1334" i="174" s="1"/>
  <c r="W1333" i="174"/>
  <c r="E1328" i="174"/>
  <c r="T1325" i="174"/>
  <c r="R1325" i="174"/>
  <c r="C1323" i="174" s="1"/>
  <c r="W1323" i="174" s="1"/>
  <c r="W1321" i="174"/>
  <c r="E1316" i="174"/>
  <c r="T1313" i="174"/>
  <c r="R1313" i="174"/>
  <c r="C1311" i="174" s="1"/>
  <c r="W1311" i="174" s="1"/>
  <c r="W1309" i="174"/>
  <c r="E1304" i="174"/>
  <c r="T1301" i="174"/>
  <c r="R1301" i="174"/>
  <c r="C1299" i="174" s="1"/>
  <c r="W1299" i="174" s="1"/>
  <c r="W1297" i="174"/>
  <c r="E1292" i="174"/>
  <c r="T1289" i="174"/>
  <c r="R1289" i="174"/>
  <c r="C1287" i="174" s="1"/>
  <c r="W1287" i="174" s="1"/>
  <c r="W1285" i="174"/>
  <c r="E1280" i="174"/>
  <c r="T1277" i="174"/>
  <c r="R1277" i="174"/>
  <c r="C1275" i="174" s="1"/>
  <c r="W1275" i="174" s="1"/>
  <c r="W1273" i="174"/>
  <c r="E1268" i="174"/>
  <c r="T1265" i="174"/>
  <c r="R1265" i="174"/>
  <c r="C1262" i="174" s="1"/>
  <c r="W1262" i="174" s="1"/>
  <c r="W1261" i="174"/>
  <c r="E1256" i="174"/>
  <c r="T1253" i="174"/>
  <c r="R1253" i="174"/>
  <c r="C1250" i="174" s="1"/>
  <c r="W1250" i="174" s="1"/>
  <c r="W1249" i="174"/>
  <c r="E1244" i="174"/>
  <c r="T1241" i="174"/>
  <c r="R1241" i="174"/>
  <c r="C1239" i="174" s="1"/>
  <c r="W1239" i="174" s="1"/>
  <c r="W1237" i="174"/>
  <c r="E1232" i="174"/>
  <c r="T1229" i="174"/>
  <c r="R1229" i="174"/>
  <c r="C1227" i="174" s="1"/>
  <c r="W1227" i="174" s="1"/>
  <c r="W1225" i="174"/>
  <c r="E1220" i="174"/>
  <c r="T1217" i="174"/>
  <c r="R1217" i="174"/>
  <c r="C1215" i="174" s="1"/>
  <c r="W1215" i="174" s="1"/>
  <c r="W1213" i="174"/>
  <c r="E1208" i="174"/>
  <c r="T1205" i="174"/>
  <c r="R1205" i="174"/>
  <c r="C1202" i="174" s="1"/>
  <c r="W1202" i="174" s="1"/>
  <c r="W1201" i="174"/>
  <c r="E1196" i="174"/>
  <c r="T1193" i="174"/>
  <c r="R1193" i="174"/>
  <c r="C1191" i="174" s="1"/>
  <c r="W1191" i="174" s="1"/>
  <c r="W1189" i="174"/>
  <c r="E1184" i="174"/>
  <c r="T1181" i="174"/>
  <c r="R1181" i="174"/>
  <c r="C1179" i="174" s="1"/>
  <c r="W1179" i="174" s="1"/>
  <c r="W1177" i="174"/>
  <c r="E1172" i="174"/>
  <c r="T1169" i="174"/>
  <c r="R1169" i="174"/>
  <c r="C1167" i="174" s="1"/>
  <c r="W1167" i="174" s="1"/>
  <c r="W1165" i="174"/>
  <c r="E1160" i="174"/>
  <c r="T1157" i="174"/>
  <c r="R1157" i="174"/>
  <c r="C1154" i="174" s="1"/>
  <c r="W1154" i="174" s="1"/>
  <c r="W1153" i="174"/>
  <c r="E1148" i="174"/>
  <c r="T1145" i="174"/>
  <c r="R1145" i="174"/>
  <c r="C1143" i="174" s="1"/>
  <c r="W1143" i="174" s="1"/>
  <c r="W1141" i="174"/>
  <c r="E1136" i="174"/>
  <c r="T1133" i="174"/>
  <c r="R1133" i="174"/>
  <c r="C1131" i="174" s="1"/>
  <c r="W1131" i="174" s="1"/>
  <c r="W1129" i="174"/>
  <c r="E1124" i="174"/>
  <c r="T1121" i="174"/>
  <c r="R1121" i="174"/>
  <c r="C1119" i="174" s="1"/>
  <c r="W1119" i="174" s="1"/>
  <c r="W1117" i="174"/>
  <c r="E1112" i="174"/>
  <c r="T1109" i="174"/>
  <c r="R1109" i="174"/>
  <c r="C1107" i="174" s="1"/>
  <c r="W1107" i="174" s="1"/>
  <c r="W1105" i="174"/>
  <c r="E1100" i="174"/>
  <c r="T1097" i="174"/>
  <c r="R1097" i="174"/>
  <c r="C1095" i="174" s="1"/>
  <c r="W1095" i="174" s="1"/>
  <c r="W1093" i="174"/>
  <c r="C1310" i="174" l="1"/>
  <c r="W1310" i="174" s="1"/>
  <c r="C1263" i="174"/>
  <c r="W1263" i="174" s="1"/>
  <c r="C44" i="174"/>
  <c r="W44" i="174" s="1"/>
  <c r="C32" i="174"/>
  <c r="W32" i="174" s="1"/>
  <c r="C1538" i="174"/>
  <c r="W1538" i="174" s="1"/>
  <c r="C1526" i="174"/>
  <c r="W1526" i="174" s="1"/>
  <c r="C1514" i="174"/>
  <c r="W1514" i="174" s="1"/>
  <c r="C1502" i="174"/>
  <c r="W1502" i="174" s="1"/>
  <c r="C1490" i="174"/>
  <c r="W1490" i="174" s="1"/>
  <c r="C1478" i="174"/>
  <c r="W1478" i="174" s="1"/>
  <c r="C1467" i="174"/>
  <c r="W1467" i="174" s="1"/>
  <c r="C1455" i="174"/>
  <c r="W1455" i="174" s="1"/>
  <c r="C1443" i="174"/>
  <c r="W1443" i="174" s="1"/>
  <c r="C1430" i="174"/>
  <c r="W1430" i="174" s="1"/>
  <c r="C1419" i="174"/>
  <c r="W1419" i="174" s="1"/>
  <c r="C1406" i="174"/>
  <c r="W1406" i="174" s="1"/>
  <c r="C1394" i="174"/>
  <c r="W1394" i="174" s="1"/>
  <c r="C1382" i="174"/>
  <c r="W1382" i="174" s="1"/>
  <c r="C1370" i="174"/>
  <c r="W1370" i="174" s="1"/>
  <c r="C1359" i="174"/>
  <c r="W1359" i="174" s="1"/>
  <c r="C1346" i="174"/>
  <c r="W1346" i="174" s="1"/>
  <c r="C1335" i="174"/>
  <c r="W1335" i="174" s="1"/>
  <c r="C1322" i="174"/>
  <c r="W1322" i="174" s="1"/>
  <c r="C1298" i="174"/>
  <c r="W1298" i="174" s="1"/>
  <c r="C1286" i="174"/>
  <c r="W1286" i="174" s="1"/>
  <c r="C1274" i="174"/>
  <c r="W1274" i="174" s="1"/>
  <c r="C1251" i="174"/>
  <c r="W1251" i="174" s="1"/>
  <c r="C1238" i="174"/>
  <c r="W1238" i="174" s="1"/>
  <c r="C1226" i="174"/>
  <c r="W1226" i="174" s="1"/>
  <c r="C1214" i="174"/>
  <c r="W1214" i="174" s="1"/>
  <c r="C1203" i="174"/>
  <c r="W1203" i="174" s="1"/>
  <c r="C1190" i="174"/>
  <c r="W1190" i="174" s="1"/>
  <c r="C1178" i="174"/>
  <c r="W1178" i="174" s="1"/>
  <c r="C1166" i="174"/>
  <c r="W1166" i="174" s="1"/>
  <c r="C1155" i="174"/>
  <c r="W1155" i="174" s="1"/>
  <c r="C1142" i="174"/>
  <c r="W1142" i="174" s="1"/>
  <c r="C1130" i="174"/>
  <c r="W1130" i="174" s="1"/>
  <c r="C1118" i="174"/>
  <c r="W1118" i="174" s="1"/>
  <c r="C1106" i="174"/>
  <c r="W1106" i="174" s="1"/>
  <c r="C1094" i="174"/>
  <c r="W1094" i="174" s="1"/>
  <c r="E1088" i="174" l="1"/>
  <c r="T1085" i="174"/>
  <c r="R1085" i="174"/>
  <c r="C1083" i="174" s="1"/>
  <c r="W1083" i="174" s="1"/>
  <c r="W1081" i="174"/>
  <c r="AJ21" i="330"/>
  <c r="T21" i="330"/>
  <c r="S21" i="330"/>
  <c r="R21" i="330"/>
  <c r="G21" i="330"/>
  <c r="Q21" i="330" s="1"/>
  <c r="B21" i="330"/>
  <c r="P21" i="330" s="1"/>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G13" i="330"/>
  <c r="Q13" i="330" s="1"/>
  <c r="B13" i="330"/>
  <c r="P13" i="330" s="1"/>
  <c r="D9" i="330"/>
  <c r="AJ28" i="329"/>
  <c r="T28" i="329"/>
  <c r="S28" i="329"/>
  <c r="R28" i="329"/>
  <c r="G28" i="329"/>
  <c r="Q28" i="329" s="1"/>
  <c r="B28" i="329"/>
  <c r="P28" i="329" s="1"/>
  <c r="AJ27" i="329"/>
  <c r="T27" i="329"/>
  <c r="S27" i="329"/>
  <c r="R27" i="329"/>
  <c r="G27" i="329"/>
  <c r="Q27" i="329" s="1"/>
  <c r="B27" i="329"/>
  <c r="P27" i="329" s="1"/>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G23" i="329"/>
  <c r="Q23" i="329" s="1"/>
  <c r="B23" i="329"/>
  <c r="P23" i="329" s="1"/>
  <c r="AJ22" i="329"/>
  <c r="T22" i="329"/>
  <c r="S22" i="329"/>
  <c r="R22" i="329"/>
  <c r="G22" i="329"/>
  <c r="Q22" i="329" s="1"/>
  <c r="B22" i="329"/>
  <c r="P22" i="329" s="1"/>
  <c r="AJ21" i="329"/>
  <c r="T21" i="329"/>
  <c r="S21" i="329"/>
  <c r="R21" i="329"/>
  <c r="G21" i="329"/>
  <c r="Q21" i="329" s="1"/>
  <c r="B21" i="329"/>
  <c r="P21" i="329" s="1"/>
  <c r="AJ20" i="329"/>
  <c r="T20" i="329"/>
  <c r="S20" i="329"/>
  <c r="R20" i="329"/>
  <c r="G20" i="329"/>
  <c r="Q20" i="329" s="1"/>
  <c r="B20" i="329"/>
  <c r="P20" i="329" s="1"/>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G17" i="328"/>
  <c r="Q17" i="328" s="1"/>
  <c r="B17" i="328"/>
  <c r="P17" i="328" s="1"/>
  <c r="AJ21" i="328"/>
  <c r="T21" i="328"/>
  <c r="S21" i="328"/>
  <c r="R21" i="328"/>
  <c r="G21" i="328"/>
  <c r="Q21" i="328" s="1"/>
  <c r="B21" i="328"/>
  <c r="P21" i="328" s="1"/>
  <c r="AJ20" i="328"/>
  <c r="T20" i="328"/>
  <c r="S20" i="328"/>
  <c r="R20" i="328"/>
  <c r="G20" i="328"/>
  <c r="Q20" i="328" s="1"/>
  <c r="B20" i="328"/>
  <c r="P20" i="328" s="1"/>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G16" i="327"/>
  <c r="Q16" i="327" s="1"/>
  <c r="B16" i="327"/>
  <c r="P16" i="327" s="1"/>
  <c r="AJ15" i="327"/>
  <c r="T15" i="327"/>
  <c r="S15" i="327"/>
  <c r="R15" i="327"/>
  <c r="G15" i="327"/>
  <c r="Q15" i="327" s="1"/>
  <c r="B15" i="327"/>
  <c r="P15" i="327" s="1"/>
  <c r="AJ14" i="327"/>
  <c r="T14" i="327"/>
  <c r="S14" i="327"/>
  <c r="R14" i="327"/>
  <c r="G14" i="327"/>
  <c r="Q14" i="327" s="1"/>
  <c r="B14" i="327"/>
  <c r="P14" i="327" s="1"/>
  <c r="AJ13" i="327"/>
  <c r="T13" i="327"/>
  <c r="S13" i="327"/>
  <c r="R13" i="327"/>
  <c r="G13" i="327"/>
  <c r="Q13" i="327" s="1"/>
  <c r="B13" i="327"/>
  <c r="P13" i="327" s="1"/>
  <c r="D9" i="327"/>
  <c r="AJ17" i="326"/>
  <c r="T17" i="326"/>
  <c r="S17" i="326"/>
  <c r="R17" i="326"/>
  <c r="G17" i="326"/>
  <c r="Q17" i="326" s="1"/>
  <c r="B17" i="326"/>
  <c r="P17" i="326" s="1"/>
  <c r="AJ23" i="326"/>
  <c r="T23" i="326"/>
  <c r="S23" i="326"/>
  <c r="R23" i="326"/>
  <c r="G23" i="326"/>
  <c r="Q23" i="326" s="1"/>
  <c r="B23" i="326"/>
  <c r="P23" i="326" s="1"/>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G21" i="325"/>
  <c r="Q21" i="325" s="1"/>
  <c r="B21" i="325"/>
  <c r="P21" i="325" s="1"/>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G18" i="324"/>
  <c r="Q18" i="324" s="1"/>
  <c r="B18" i="324"/>
  <c r="P18" i="324" s="1"/>
  <c r="AJ21" i="324"/>
  <c r="T21" i="324"/>
  <c r="S21" i="324"/>
  <c r="R21" i="324"/>
  <c r="G21" i="324"/>
  <c r="Q21" i="324" s="1"/>
  <c r="B21" i="324"/>
  <c r="P21" i="324" s="1"/>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G16" i="324"/>
  <c r="Q16" i="324" s="1"/>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G16" i="323"/>
  <c r="Q16" i="323" s="1"/>
  <c r="B16" i="323"/>
  <c r="P16" i="323" s="1"/>
  <c r="AJ15" i="323"/>
  <c r="T15" i="323"/>
  <c r="S15" i="323"/>
  <c r="R15" i="323"/>
  <c r="G15" i="323"/>
  <c r="Q15" i="323" s="1"/>
  <c r="B15" i="323"/>
  <c r="P15" i="323" s="1"/>
  <c r="AJ14" i="323"/>
  <c r="T14" i="323"/>
  <c r="S14" i="323"/>
  <c r="R14" i="323"/>
  <c r="Q14" i="323"/>
  <c r="G14" i="323"/>
  <c r="B14" i="323"/>
  <c r="P14" i="323" s="1"/>
  <c r="AJ13" i="323"/>
  <c r="T13" i="323"/>
  <c r="S13" i="323"/>
  <c r="R13" i="323"/>
  <c r="Q13" i="323"/>
  <c r="G13" i="323"/>
  <c r="B13" i="323"/>
  <c r="P13" i="323" s="1"/>
  <c r="D9" i="323"/>
  <c r="AJ23" i="322"/>
  <c r="T23" i="322"/>
  <c r="S23" i="322"/>
  <c r="R23" i="322"/>
  <c r="P23" i="322"/>
  <c r="G23" i="322"/>
  <c r="Q23" i="322" s="1"/>
  <c r="B23" i="322"/>
  <c r="AJ22" i="322"/>
  <c r="T22" i="322"/>
  <c r="S22" i="322"/>
  <c r="R22" i="322"/>
  <c r="G22" i="322"/>
  <c r="Q22" i="322" s="1"/>
  <c r="B22" i="322"/>
  <c r="P22" i="322" s="1"/>
  <c r="AJ21" i="322"/>
  <c r="T21" i="322"/>
  <c r="S21" i="322"/>
  <c r="R21" i="322"/>
  <c r="G21" i="322"/>
  <c r="Q21" i="322" s="1"/>
  <c r="B21" i="322"/>
  <c r="P21" i="322" s="1"/>
  <c r="AJ27" i="322"/>
  <c r="T27" i="322"/>
  <c r="S27" i="322"/>
  <c r="R27" i="322"/>
  <c r="G27" i="322"/>
  <c r="Q27" i="322" s="1"/>
  <c r="B27" i="322"/>
  <c r="P27" i="322" s="1"/>
  <c r="AJ26" i="322"/>
  <c r="T26" i="322"/>
  <c r="S26" i="322"/>
  <c r="R26" i="322"/>
  <c r="Q26" i="322"/>
  <c r="G26" i="322"/>
  <c r="B26" i="322"/>
  <c r="P26" i="322" s="1"/>
  <c r="AJ25" i="322"/>
  <c r="T25" i="322"/>
  <c r="S25" i="322"/>
  <c r="R25" i="322"/>
  <c r="G25" i="322"/>
  <c r="Q25" i="322" s="1"/>
  <c r="B25" i="322"/>
  <c r="P25" i="322" s="1"/>
  <c r="AJ24" i="322"/>
  <c r="T24" i="322"/>
  <c r="S24" i="322"/>
  <c r="R24" i="322"/>
  <c r="G24" i="322"/>
  <c r="Q24" i="322" s="1"/>
  <c r="B24" i="322"/>
  <c r="P24" i="322" s="1"/>
  <c r="AJ20" i="322"/>
  <c r="T20" i="322"/>
  <c r="S20" i="322"/>
  <c r="R20" i="322"/>
  <c r="G20" i="322"/>
  <c r="Q20" i="322" s="1"/>
  <c r="B20" i="322"/>
  <c r="P20" i="322" s="1"/>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G15" i="322"/>
  <c r="Q15" i="322" s="1"/>
  <c r="B15" i="322"/>
  <c r="P15" i="322" s="1"/>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G24" i="321"/>
  <c r="Q24" i="321" s="1"/>
  <c r="B24" i="321"/>
  <c r="P24" i="321" s="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G15" i="321"/>
  <c r="Q15" i="321" s="1"/>
  <c r="B15" i="321"/>
  <c r="P15" i="321" s="1"/>
  <c r="AJ14" i="321"/>
  <c r="T14" i="321"/>
  <c r="S14" i="321"/>
  <c r="R14" i="321"/>
  <c r="G14" i="321"/>
  <c r="Q14" i="321" s="1"/>
  <c r="B14" i="321"/>
  <c r="P14" i="321" s="1"/>
  <c r="AJ13" i="321"/>
  <c r="T13" i="321"/>
  <c r="S13" i="321"/>
  <c r="R13" i="321"/>
  <c r="Q13" i="321"/>
  <c r="G13" i="321"/>
  <c r="B13" i="321"/>
  <c r="P13" i="321" s="1"/>
  <c r="D9" i="321"/>
  <c r="AJ19" i="320"/>
  <c r="T19" i="320"/>
  <c r="S19" i="320"/>
  <c r="R19" i="320"/>
  <c r="P19" i="320"/>
  <c r="G19" i="320"/>
  <c r="Q19" i="320" s="1"/>
  <c r="B19" i="320"/>
  <c r="AJ23" i="320"/>
  <c r="T23" i="320"/>
  <c r="S23" i="320"/>
  <c r="R23" i="320"/>
  <c r="G23" i="320"/>
  <c r="Q23" i="320" s="1"/>
  <c r="B23" i="320"/>
  <c r="P23" i="320" s="1"/>
  <c r="AJ22" i="320"/>
  <c r="T22" i="320"/>
  <c r="S22" i="320"/>
  <c r="R22" i="320"/>
  <c r="G22" i="320"/>
  <c r="Q22" i="320" s="1"/>
  <c r="B22" i="320"/>
  <c r="P22" i="320" s="1"/>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G13" i="320"/>
  <c r="Q13" i="320" s="1"/>
  <c r="B13" i="320"/>
  <c r="P13" i="320" s="1"/>
  <c r="D9" i="320"/>
  <c r="AJ20" i="319"/>
  <c r="T20" i="319"/>
  <c r="S20" i="319"/>
  <c r="R20" i="319"/>
  <c r="G20" i="319"/>
  <c r="Q20" i="319" s="1"/>
  <c r="B20" i="319"/>
  <c r="P20" i="319" s="1"/>
  <c r="AJ22" i="319"/>
  <c r="T22" i="319"/>
  <c r="S22" i="319"/>
  <c r="R22" i="319"/>
  <c r="G22" i="319"/>
  <c r="Q22" i="319" s="1"/>
  <c r="B22" i="319"/>
  <c r="P22" i="319" s="1"/>
  <c r="AJ21" i="319"/>
  <c r="T21" i="319"/>
  <c r="S21" i="319"/>
  <c r="R21" i="319"/>
  <c r="G21" i="319"/>
  <c r="Q21" i="319" s="1"/>
  <c r="B21" i="319"/>
  <c r="P21" i="319" s="1"/>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G15" i="319"/>
  <c r="Q15" i="319" s="1"/>
  <c r="B15" i="319"/>
  <c r="P15" i="319" s="1"/>
  <c r="AJ14" i="319"/>
  <c r="T14" i="319"/>
  <c r="S14" i="319"/>
  <c r="R14" i="319"/>
  <c r="G14" i="319"/>
  <c r="Q14" i="319" s="1"/>
  <c r="B14" i="319"/>
  <c r="P14" i="319" s="1"/>
  <c r="AJ13" i="319"/>
  <c r="T13" i="319"/>
  <c r="S13" i="319"/>
  <c r="R13" i="319"/>
  <c r="G13" i="319"/>
  <c r="Q13" i="319" s="1"/>
  <c r="B13" i="319"/>
  <c r="P13" i="319" s="1"/>
  <c r="D9" i="319"/>
  <c r="AJ18" i="318"/>
  <c r="T18" i="318"/>
  <c r="S18" i="318"/>
  <c r="R18" i="318"/>
  <c r="G18" i="318"/>
  <c r="Q18" i="318" s="1"/>
  <c r="B18" i="318"/>
  <c r="P18" i="318" s="1"/>
  <c r="AJ21" i="318"/>
  <c r="T21" i="318"/>
  <c r="S21" i="318"/>
  <c r="R21" i="318"/>
  <c r="G21" i="318"/>
  <c r="Q21" i="318" s="1"/>
  <c r="B21" i="318"/>
  <c r="P21" i="318" s="1"/>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G15" i="318"/>
  <c r="Q15" i="318" s="1"/>
  <c r="B15" i="318"/>
  <c r="P15" i="318" s="1"/>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G19" i="316"/>
  <c r="Q19" i="316" s="1"/>
  <c r="B19" i="316"/>
  <c r="P19" i="316" s="1"/>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G14" i="316"/>
  <c r="Q14" i="316" s="1"/>
  <c r="B14" i="316"/>
  <c r="P14" i="316" s="1"/>
  <c r="AJ13" i="316"/>
  <c r="T13" i="316"/>
  <c r="S13" i="316"/>
  <c r="R13" i="316"/>
  <c r="G13" i="316"/>
  <c r="Q13" i="316" s="1"/>
  <c r="B13" i="316"/>
  <c r="P13" i="316" s="1"/>
  <c r="D9" i="316"/>
  <c r="AJ19" i="315"/>
  <c r="T19" i="315"/>
  <c r="S19" i="315"/>
  <c r="R19" i="315"/>
  <c r="P19" i="315"/>
  <c r="G19" i="315"/>
  <c r="Q19" i="315" s="1"/>
  <c r="B19" i="315"/>
  <c r="AJ18" i="315"/>
  <c r="T18" i="315"/>
  <c r="S18" i="315"/>
  <c r="R18" i="315"/>
  <c r="G18" i="315"/>
  <c r="Q18" i="315" s="1"/>
  <c r="B18" i="315"/>
  <c r="P18" i="315" s="1"/>
  <c r="AJ17" i="315"/>
  <c r="T17" i="315"/>
  <c r="S17" i="315"/>
  <c r="R17" i="315"/>
  <c r="G17" i="315"/>
  <c r="Q17" i="315" s="1"/>
  <c r="B17" i="315"/>
  <c r="P17" i="315" s="1"/>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G18" i="314"/>
  <c r="Q18" i="314" s="1"/>
  <c r="B18" i="314"/>
  <c r="P18" i="314" s="1"/>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G20" i="313"/>
  <c r="Q20" i="313" s="1"/>
  <c r="B20" i="313"/>
  <c r="P20" i="313" s="1"/>
  <c r="AJ19" i="313"/>
  <c r="T19" i="313"/>
  <c r="S19" i="313"/>
  <c r="R19" i="313"/>
  <c r="G19" i="313"/>
  <c r="Q19" i="313" s="1"/>
  <c r="B19" i="313"/>
  <c r="P19" i="313" s="1"/>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G14" i="313"/>
  <c r="Q14" i="313" s="1"/>
  <c r="B14" i="313"/>
  <c r="P14" i="313" s="1"/>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082" i="174" l="1"/>
  <c r="W1082"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G16" i="311"/>
  <c r="R16" i="311" s="1"/>
  <c r="B16" i="311"/>
  <c r="P16" i="311" s="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0" i="25"/>
  <c r="B99" i="25"/>
  <c r="B98" i="25"/>
  <c r="B97" i="25"/>
  <c r="B96" i="25"/>
  <c r="B95" i="25"/>
  <c r="B94" i="25"/>
  <c r="B93" i="25"/>
  <c r="B92" i="25"/>
  <c r="B91" i="25"/>
  <c r="B90" i="25"/>
  <c r="B89" i="25"/>
  <c r="B88" i="25"/>
  <c r="B87" i="25"/>
  <c r="B86" i="25"/>
  <c r="B85" i="25"/>
  <c r="B84" i="25"/>
  <c r="B83" i="25"/>
  <c r="B82" i="25"/>
  <c r="B81" i="25"/>
  <c r="B80" i="25"/>
  <c r="B79" i="25"/>
  <c r="B78" i="25"/>
  <c r="B77" i="25"/>
  <c r="B76" i="25"/>
  <c r="B75" i="25"/>
  <c r="B74" i="25"/>
  <c r="B73"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B118" i="25"/>
  <c r="B117" i="25"/>
  <c r="B116" i="25"/>
  <c r="B115" i="25"/>
  <c r="B114" i="25"/>
  <c r="B113" i="25"/>
  <c r="E1076" i="174" l="1"/>
  <c r="E1064" i="174"/>
  <c r="E1052" i="174"/>
  <c r="E1040" i="174"/>
  <c r="E1028" i="174"/>
  <c r="E1016" i="174"/>
  <c r="T1073" i="174"/>
  <c r="T1061" i="174"/>
  <c r="T1049" i="174"/>
  <c r="T1037" i="174"/>
  <c r="T1025" i="174"/>
  <c r="T1013" i="174"/>
  <c r="E1004" i="174"/>
  <c r="T1001" i="174"/>
  <c r="E22" i="174"/>
  <c r="T16"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8" i="25"/>
  <c r="AM37" i="25"/>
  <c r="AM55" i="25"/>
  <c r="AM53" i="25"/>
  <c r="AM44" i="25"/>
  <c r="AM52" i="25"/>
  <c r="AM50" i="25"/>
  <c r="AM41" i="25"/>
  <c r="AM36" i="25"/>
  <c r="AM43" i="25"/>
  <c r="AM39" i="25"/>
  <c r="AM51" i="25"/>
  <c r="AM49" i="25"/>
  <c r="AM45" i="25"/>
  <c r="AM54" i="25"/>
  <c r="AM47" i="25"/>
  <c r="AM42" i="25"/>
  <c r="AM46" i="25"/>
  <c r="AM38" i="25"/>
  <c r="AM40" i="25"/>
  <c r="Q23" i="309" l="1"/>
  <c r="Q22" i="309"/>
  <c r="BK90" i="25"/>
  <c r="A90" i="25"/>
  <c r="O187" i="25"/>
  <c r="BK70" i="25"/>
  <c r="A70" i="25"/>
  <c r="C14" i="174"/>
  <c r="W14" i="174" s="1"/>
  <c r="C13" i="174"/>
  <c r="W13" i="174" s="1"/>
  <c r="W12" i="174"/>
  <c r="AM70" i="25"/>
  <c r="AM90" i="25"/>
  <c r="W5" i="174" l="1"/>
  <c r="W3" i="174"/>
  <c r="W997" i="174"/>
  <c r="R1001" i="174"/>
  <c r="C998" i="174" s="1"/>
  <c r="W998" i="174" s="1"/>
  <c r="C4" i="174" l="1"/>
  <c r="W4" i="174" s="1"/>
  <c r="C999" i="174"/>
  <c r="W999"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G22" i="307"/>
  <c r="Q22" i="307" s="1"/>
  <c r="B22" i="307"/>
  <c r="P22" i="307" s="1"/>
  <c r="AJ21" i="307"/>
  <c r="T21" i="307"/>
  <c r="S21" i="307"/>
  <c r="R21" i="307"/>
  <c r="G21" i="307"/>
  <c r="Q21" i="307" s="1"/>
  <c r="B21" i="307"/>
  <c r="P21" i="307" s="1"/>
  <c r="AJ19" i="307"/>
  <c r="T19" i="307"/>
  <c r="S19" i="307"/>
  <c r="R19" i="307"/>
  <c r="G19" i="307"/>
  <c r="Q19" i="307" s="1"/>
  <c r="B19" i="307"/>
  <c r="P19" i="307" s="1"/>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G20" i="306"/>
  <c r="Q20" i="306" s="1"/>
  <c r="B20" i="306"/>
  <c r="P20" i="306" s="1"/>
  <c r="AJ19" i="306"/>
  <c r="T19" i="306"/>
  <c r="S19" i="306"/>
  <c r="R19" i="306"/>
  <c r="G19" i="306"/>
  <c r="Q19" i="306" s="1"/>
  <c r="B19" i="306"/>
  <c r="P19" i="306" s="1"/>
  <c r="AJ18" i="306"/>
  <c r="T18" i="306"/>
  <c r="S18" i="306"/>
  <c r="R18" i="306"/>
  <c r="G18" i="306"/>
  <c r="Q18" i="306" s="1"/>
  <c r="B18" i="306"/>
  <c r="P18" i="306" s="1"/>
  <c r="AJ17" i="306"/>
  <c r="T17" i="306"/>
  <c r="S17" i="306"/>
  <c r="R17" i="306"/>
  <c r="G17" i="306"/>
  <c r="Q17" i="306" s="1"/>
  <c r="B17" i="306"/>
  <c r="P17" i="306" s="1"/>
  <c r="AJ16" i="306"/>
  <c r="T16" i="306"/>
  <c r="S16" i="306"/>
  <c r="R16" i="306"/>
  <c r="G16" i="306"/>
  <c r="Q16" i="306" s="1"/>
  <c r="B16" i="306"/>
  <c r="P16" i="306" s="1"/>
  <c r="AJ15" i="306"/>
  <c r="T15" i="306"/>
  <c r="S15" i="306"/>
  <c r="R15" i="306"/>
  <c r="G15" i="306"/>
  <c r="Q15" i="306" s="1"/>
  <c r="B15" i="306"/>
  <c r="P15" i="306" s="1"/>
  <c r="AJ14" i="306"/>
  <c r="T14" i="306"/>
  <c r="S14" i="306"/>
  <c r="R14" i="306"/>
  <c r="G14" i="306"/>
  <c r="Q14" i="306" s="1"/>
  <c r="B14" i="306"/>
  <c r="P14" i="306" s="1"/>
  <c r="AJ13" i="306"/>
  <c r="T13" i="306"/>
  <c r="S13" i="306"/>
  <c r="R13" i="306"/>
  <c r="G13" i="306"/>
  <c r="Q13" i="306" s="1"/>
  <c r="B13" i="306"/>
  <c r="P13" i="306" s="1"/>
  <c r="AJ31" i="305"/>
  <c r="T31" i="305"/>
  <c r="S31" i="305"/>
  <c r="R31" i="305"/>
  <c r="G31" i="305"/>
  <c r="Q31" i="305" s="1"/>
  <c r="B31" i="305"/>
  <c r="P31" i="305" s="1"/>
  <c r="AJ30" i="305"/>
  <c r="T30" i="305"/>
  <c r="S30" i="305"/>
  <c r="R30" i="305"/>
  <c r="G30" i="305"/>
  <c r="Q30" i="305" s="1"/>
  <c r="B30" i="305"/>
  <c r="P30" i="305" s="1"/>
  <c r="AJ29" i="305"/>
  <c r="T29" i="305"/>
  <c r="S29" i="305"/>
  <c r="R29" i="305"/>
  <c r="G29" i="305"/>
  <c r="Q29" i="305" s="1"/>
  <c r="B29" i="305"/>
  <c r="P29" i="305" s="1"/>
  <c r="AJ28" i="305"/>
  <c r="T28" i="305"/>
  <c r="S28" i="305"/>
  <c r="R28" i="305"/>
  <c r="Q28" i="305"/>
  <c r="G28" i="305"/>
  <c r="B28" i="305"/>
  <c r="P28" i="305" s="1"/>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G19" i="305"/>
  <c r="Q19" i="305" s="1"/>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G28" i="302"/>
  <c r="Q28" i="302" s="1"/>
  <c r="B28" i="302"/>
  <c r="P28" i="302" s="1"/>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G21" i="302"/>
  <c r="Q21" i="302" s="1"/>
  <c r="B21" i="302"/>
  <c r="P21" i="302" s="1"/>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G13" i="302"/>
  <c r="Q13" i="302" s="1"/>
  <c r="B13" i="302"/>
  <c r="P13" i="302" s="1"/>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G24" i="300"/>
  <c r="Q24" i="300" s="1"/>
  <c r="B24" i="300"/>
  <c r="P24" i="300" s="1"/>
  <c r="AJ23" i="300"/>
  <c r="T23" i="300"/>
  <c r="S23" i="300"/>
  <c r="R23" i="300"/>
  <c r="G23" i="300"/>
  <c r="Q23" i="300" s="1"/>
  <c r="B23" i="300"/>
  <c r="P23" i="300" s="1"/>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G19" i="300"/>
  <c r="Q19" i="300" s="1"/>
  <c r="B19" i="300"/>
  <c r="P19" i="300" s="1"/>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G32" i="298"/>
  <c r="Q32" i="298" s="1"/>
  <c r="B32" i="298"/>
  <c r="P32" i="298" s="1"/>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1" i="25"/>
  <c r="A91" i="25"/>
  <c r="BK97" i="25"/>
  <c r="A97" i="25"/>
  <c r="BK96" i="25"/>
  <c r="A96" i="25"/>
  <c r="BK95" i="25"/>
  <c r="A95" i="25"/>
  <c r="BK94" i="25"/>
  <c r="A94" i="25"/>
  <c r="BK93" i="25"/>
  <c r="A93" i="25"/>
  <c r="BK92" i="25"/>
  <c r="A92" i="25"/>
  <c r="BK89" i="25"/>
  <c r="A89" i="25"/>
  <c r="AJ22" i="297"/>
  <c r="T22" i="297"/>
  <c r="S22" i="297"/>
  <c r="R22" i="297"/>
  <c r="G22" i="297"/>
  <c r="Q22" i="297" s="1"/>
  <c r="B22" i="297"/>
  <c r="P22" i="297" s="1"/>
  <c r="AJ21" i="297"/>
  <c r="T21" i="297"/>
  <c r="S21" i="297"/>
  <c r="R21" i="297"/>
  <c r="G21" i="297"/>
  <c r="Q21" i="297" s="1"/>
  <c r="B21" i="297"/>
  <c r="P21" i="297" s="1"/>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G17" i="297"/>
  <c r="Q17" i="297" s="1"/>
  <c r="B17" i="297"/>
  <c r="P17" i="297" s="1"/>
  <c r="AJ16" i="297"/>
  <c r="T16" i="297"/>
  <c r="S16" i="297"/>
  <c r="R16" i="297"/>
  <c r="G16" i="297"/>
  <c r="Q16" i="297" s="1"/>
  <c r="B16" i="297"/>
  <c r="P16" i="297" s="1"/>
  <c r="AJ15" i="297"/>
  <c r="T15" i="297"/>
  <c r="S15" i="297"/>
  <c r="R15" i="297"/>
  <c r="G15" i="297"/>
  <c r="Q15" i="297" s="1"/>
  <c r="B15" i="297"/>
  <c r="P15" i="297" s="1"/>
  <c r="AJ14" i="297"/>
  <c r="T14" i="297"/>
  <c r="S14" i="297"/>
  <c r="R14" i="297"/>
  <c r="G14" i="297"/>
  <c r="Q14" i="297" s="1"/>
  <c r="B14" i="297"/>
  <c r="P14" i="297" s="1"/>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G48" i="296"/>
  <c r="Q48" i="296" s="1"/>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G40" i="296"/>
  <c r="Q40" i="296" s="1"/>
  <c r="B40" i="296"/>
  <c r="P40" i="296" s="1"/>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G34" i="296"/>
  <c r="Q34" i="296" s="1"/>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P27" i="296"/>
  <c r="G27" i="296"/>
  <c r="Q27" i="296" s="1"/>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G51" i="296"/>
  <c r="Q51" i="296" s="1"/>
  <c r="B51" i="296"/>
  <c r="P51" i="296" s="1"/>
  <c r="AJ20" i="296"/>
  <c r="T20" i="296"/>
  <c r="S20" i="296"/>
  <c r="R20" i="296"/>
  <c r="G20" i="296"/>
  <c r="Q20" i="296" s="1"/>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G13" i="296"/>
  <c r="Q13" i="296" s="1"/>
  <c r="B13" i="296"/>
  <c r="P13" i="296" s="1"/>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G14" i="295"/>
  <c r="Q14" i="295" s="1"/>
  <c r="B14" i="295"/>
  <c r="P14" i="295" s="1"/>
  <c r="AJ13" i="295"/>
  <c r="T13" i="295"/>
  <c r="S13" i="295"/>
  <c r="R13" i="295"/>
  <c r="G13" i="295"/>
  <c r="Q13" i="295" s="1"/>
  <c r="B13" i="295"/>
  <c r="P13" i="295" s="1"/>
  <c r="AJ23" i="294"/>
  <c r="T23" i="294"/>
  <c r="S23" i="294"/>
  <c r="R23" i="294"/>
  <c r="P23" i="294"/>
  <c r="G23" i="294"/>
  <c r="Q23" i="294" s="1"/>
  <c r="B23" i="294"/>
  <c r="AJ22" i="294"/>
  <c r="T22" i="294"/>
  <c r="S22" i="294"/>
  <c r="R22" i="294"/>
  <c r="G22" i="294"/>
  <c r="Q22" i="294" s="1"/>
  <c r="B22" i="294"/>
  <c r="P22" i="294" s="1"/>
  <c r="AJ21" i="294"/>
  <c r="T21" i="294"/>
  <c r="S21" i="294"/>
  <c r="R21" i="294"/>
  <c r="G21" i="294"/>
  <c r="Q21" i="294" s="1"/>
  <c r="B21" i="294"/>
  <c r="P21" i="294" s="1"/>
  <c r="AJ20" i="294"/>
  <c r="T20" i="294"/>
  <c r="S20" i="294"/>
  <c r="R20" i="294"/>
  <c r="G20" i="294"/>
  <c r="Q20" i="294" s="1"/>
  <c r="B20" i="294"/>
  <c r="P20" i="294" s="1"/>
  <c r="AJ19" i="294"/>
  <c r="T19" i="294"/>
  <c r="S19" i="294"/>
  <c r="R19" i="294"/>
  <c r="G19" i="294"/>
  <c r="Q19" i="294" s="1"/>
  <c r="B19" i="294"/>
  <c r="P19" i="294" s="1"/>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G15" i="294"/>
  <c r="Q15" i="294" s="1"/>
  <c r="B15" i="294"/>
  <c r="P15" i="294" s="1"/>
  <c r="AJ14" i="294"/>
  <c r="T14" i="294"/>
  <c r="S14" i="294"/>
  <c r="R14" i="294"/>
  <c r="G14" i="294"/>
  <c r="Q14" i="294" s="1"/>
  <c r="B14" i="294"/>
  <c r="P14" i="294" s="1"/>
  <c r="AJ13" i="294"/>
  <c r="T13" i="294"/>
  <c r="S13" i="294"/>
  <c r="R13" i="294"/>
  <c r="Q13" i="294"/>
  <c r="G13" i="294"/>
  <c r="B13" i="294"/>
  <c r="P13" i="294" s="1"/>
  <c r="AJ21" i="293"/>
  <c r="T21" i="293"/>
  <c r="S21" i="293"/>
  <c r="R21" i="293"/>
  <c r="P21" i="293"/>
  <c r="G21" i="293"/>
  <c r="Q21" i="293" s="1"/>
  <c r="B21" i="293"/>
  <c r="AJ23" i="293"/>
  <c r="T23" i="293"/>
  <c r="S23" i="293"/>
  <c r="R23" i="293"/>
  <c r="G23" i="293"/>
  <c r="Q23" i="293" s="1"/>
  <c r="B23" i="293"/>
  <c r="P23" i="293" s="1"/>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G13" i="293"/>
  <c r="Q13" i="293" s="1"/>
  <c r="B13" i="293"/>
  <c r="P13" i="293" s="1"/>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P14" i="292"/>
  <c r="G14" i="292"/>
  <c r="Q14" i="292" s="1"/>
  <c r="B14" i="292"/>
  <c r="AJ13" i="292"/>
  <c r="T13" i="292"/>
  <c r="S13" i="292"/>
  <c r="R13" i="292"/>
  <c r="G13" i="292"/>
  <c r="Q13" i="292" s="1"/>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G23" i="291"/>
  <c r="Q23" i="291" s="1"/>
  <c r="B23" i="291"/>
  <c r="P23" i="291" s="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G14" i="291"/>
  <c r="Q14" i="291" s="1"/>
  <c r="B14" i="291"/>
  <c r="P14" i="291" s="1"/>
  <c r="AJ13" i="291"/>
  <c r="T13" i="291"/>
  <c r="S13" i="291"/>
  <c r="R13" i="291"/>
  <c r="G13" i="291"/>
  <c r="Q13" i="291" s="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G22" i="289"/>
  <c r="Q22" i="289" s="1"/>
  <c r="B22" i="289"/>
  <c r="P22" i="289" s="1"/>
  <c r="AJ21" i="289"/>
  <c r="T21" i="289"/>
  <c r="S21" i="289"/>
  <c r="R21" i="289"/>
  <c r="G21" i="289"/>
  <c r="Q21" i="289" s="1"/>
  <c r="B21" i="289"/>
  <c r="P21" i="289" s="1"/>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G28" i="289"/>
  <c r="Q28" i="289" s="1"/>
  <c r="B28" i="289"/>
  <c r="P28" i="289" s="1"/>
  <c r="AJ27" i="289"/>
  <c r="T27" i="289"/>
  <c r="S27" i="289"/>
  <c r="R27" i="289"/>
  <c r="G27" i="289"/>
  <c r="Q27" i="289" s="1"/>
  <c r="B27" i="289"/>
  <c r="P27" i="289" s="1"/>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G15" i="288"/>
  <c r="Q15" i="288" s="1"/>
  <c r="B15" i="288"/>
  <c r="P15" i="288" s="1"/>
  <c r="AJ14" i="288"/>
  <c r="T14" i="288"/>
  <c r="S14" i="288"/>
  <c r="R14" i="288"/>
  <c r="Q14" i="288"/>
  <c r="G14" i="288"/>
  <c r="B14" i="288"/>
  <c r="P14" i="288" s="1"/>
  <c r="AJ13" i="288"/>
  <c r="T13" i="288"/>
  <c r="S13" i="288"/>
  <c r="R13" i="288"/>
  <c r="P13" i="288"/>
  <c r="G13" i="288"/>
  <c r="Q13" i="288" s="1"/>
  <c r="B13" i="288"/>
  <c r="BK86" i="25"/>
  <c r="A86" i="25"/>
  <c r="BK85" i="25"/>
  <c r="A85" i="25"/>
  <c r="BK84" i="25"/>
  <c r="A84" i="25"/>
  <c r="BK83" i="25"/>
  <c r="A83" i="25"/>
  <c r="BK82" i="25"/>
  <c r="A82" i="25"/>
  <c r="BK81" i="25"/>
  <c r="A81" i="25"/>
  <c r="BK80" i="25"/>
  <c r="A80" i="25"/>
  <c r="BK79" i="25"/>
  <c r="A79" i="25"/>
  <c r="BK98" i="25"/>
  <c r="A98" i="25"/>
  <c r="BK88" i="25"/>
  <c r="A88" i="25"/>
  <c r="BK87" i="25"/>
  <c r="A87"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G27" i="286"/>
  <c r="Q27" i="286" s="1"/>
  <c r="B27" i="286"/>
  <c r="P27" i="286" s="1"/>
  <c r="AJ26" i="286"/>
  <c r="T26" i="286"/>
  <c r="S26" i="286"/>
  <c r="R26" i="286"/>
  <c r="G26" i="286"/>
  <c r="Q26" i="286" s="1"/>
  <c r="B26" i="286"/>
  <c r="P26" i="286" s="1"/>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G29" i="286"/>
  <c r="Q29" i="286" s="1"/>
  <c r="B29" i="286"/>
  <c r="P29" i="286" s="1"/>
  <c r="AJ28" i="286"/>
  <c r="T28" i="286"/>
  <c r="S28" i="286"/>
  <c r="R28" i="286"/>
  <c r="G28" i="286"/>
  <c r="Q28" i="286" s="1"/>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78" i="25"/>
  <c r="A78" i="25"/>
  <c r="BK77" i="25"/>
  <c r="A77" i="25"/>
  <c r="BK76" i="25"/>
  <c r="A76" i="25"/>
  <c r="AJ19" i="284"/>
  <c r="T19" i="284"/>
  <c r="S19" i="284"/>
  <c r="R19" i="284"/>
  <c r="G19" i="284"/>
  <c r="Q19" i="284" s="1"/>
  <c r="B19" i="284"/>
  <c r="P19" i="284" s="1"/>
  <c r="AJ21" i="284"/>
  <c r="T21" i="284"/>
  <c r="S21" i="284"/>
  <c r="R21" i="284"/>
  <c r="G21" i="284"/>
  <c r="Q21" i="284" s="1"/>
  <c r="B21" i="284"/>
  <c r="P21" i="284" s="1"/>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G29" i="283"/>
  <c r="Q29" i="283" s="1"/>
  <c r="B29" i="283"/>
  <c r="P29" i="283" s="1"/>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G19" i="282"/>
  <c r="Q19" i="282" s="1"/>
  <c r="B19" i="282"/>
  <c r="P19" i="282" s="1"/>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75" i="25"/>
  <c r="A75" i="25"/>
  <c r="BK74" i="25"/>
  <c r="A74" i="25"/>
  <c r="BK73" i="25"/>
  <c r="A73"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G22" i="280"/>
  <c r="Q22" i="280" s="1"/>
  <c r="B22" i="280"/>
  <c r="P22" i="280" s="1"/>
  <c r="AJ21" i="280"/>
  <c r="T21" i="280"/>
  <c r="S21" i="280"/>
  <c r="R21" i="280"/>
  <c r="G21" i="280"/>
  <c r="Q21" i="280" s="1"/>
  <c r="B21" i="280"/>
  <c r="P21" i="280" s="1"/>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G30" i="277"/>
  <c r="R30" i="277" s="1"/>
  <c r="B30" i="277"/>
  <c r="P30" i="277" s="1"/>
  <c r="AJ29" i="277"/>
  <c r="T29" i="277"/>
  <c r="S29" i="277"/>
  <c r="R29" i="277"/>
  <c r="G29" i="277"/>
  <c r="Q29" i="277" s="1"/>
  <c r="B29" i="277"/>
  <c r="P29" i="277" s="1"/>
  <c r="AJ28" i="277"/>
  <c r="T28" i="277"/>
  <c r="S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G25" i="276"/>
  <c r="R25" i="276" s="1"/>
  <c r="B25" i="276"/>
  <c r="P25" i="276" s="1"/>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G28" i="276"/>
  <c r="R28" i="276" s="1"/>
  <c r="B28" i="276"/>
  <c r="P28" i="276" s="1"/>
  <c r="AJ27" i="276"/>
  <c r="T27" i="276"/>
  <c r="S27" i="276"/>
  <c r="R27" i="276"/>
  <c r="G27" i="276"/>
  <c r="Q27" i="276" s="1"/>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G20" i="275"/>
  <c r="R20" i="275" s="1"/>
  <c r="B20" i="275"/>
  <c r="P20" i="275" s="1"/>
  <c r="AJ19" i="275"/>
  <c r="T19" i="275"/>
  <c r="S19" i="275"/>
  <c r="P19" i="275"/>
  <c r="G19" i="275"/>
  <c r="R19" i="275" s="1"/>
  <c r="B19" i="275"/>
  <c r="AJ18" i="275"/>
  <c r="T18" i="275"/>
  <c r="S18" i="275"/>
  <c r="G18" i="275"/>
  <c r="R18" i="275" s="1"/>
  <c r="B18" i="275"/>
  <c r="P18" i="275" s="1"/>
  <c r="AJ17" i="275"/>
  <c r="T17" i="275"/>
  <c r="S17" i="275"/>
  <c r="G17" i="275"/>
  <c r="R17" i="275" s="1"/>
  <c r="B17" i="275"/>
  <c r="P17" i="275" s="1"/>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G15" i="274"/>
  <c r="Q15" i="274" s="1"/>
  <c r="B15" i="274"/>
  <c r="P15" i="274" s="1"/>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P13" i="273"/>
  <c r="G13" i="273"/>
  <c r="Q13" i="273" s="1"/>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G36" i="271"/>
  <c r="R36" i="271" s="1"/>
  <c r="B36" i="271"/>
  <c r="P36" i="271" s="1"/>
  <c r="AJ35" i="271"/>
  <c r="T35" i="271"/>
  <c r="S35" i="271"/>
  <c r="G35" i="271"/>
  <c r="Q35" i="271" s="1"/>
  <c r="B35" i="271"/>
  <c r="P35" i="271" s="1"/>
  <c r="AJ34" i="271"/>
  <c r="T34" i="271"/>
  <c r="S34" i="271"/>
  <c r="G34" i="271"/>
  <c r="Q34" i="271" s="1"/>
  <c r="B34" i="271"/>
  <c r="P34" i="271" s="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G28" i="271"/>
  <c r="Q28" i="271" s="1"/>
  <c r="B28" i="271"/>
  <c r="P28" i="271" s="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G14" i="271"/>
  <c r="Q14" i="271" s="1"/>
  <c r="B14" i="271"/>
  <c r="P14" i="271" s="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G36" i="267"/>
  <c r="R36" i="267" s="1"/>
  <c r="B36" i="267"/>
  <c r="P36" i="267" s="1"/>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G32" i="267"/>
  <c r="Q32" i="267" s="1"/>
  <c r="B32" i="267"/>
  <c r="P32" i="267" s="1"/>
  <c r="AJ31" i="267"/>
  <c r="T31" i="267"/>
  <c r="S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G18" i="267"/>
  <c r="R18" i="267" s="1"/>
  <c r="B18" i="267"/>
  <c r="P18" i="267" s="1"/>
  <c r="AJ44" i="267"/>
  <c r="T44" i="267"/>
  <c r="S44" i="267"/>
  <c r="G44" i="267"/>
  <c r="R44" i="267" s="1"/>
  <c r="B44" i="267"/>
  <c r="P44" i="267" s="1"/>
  <c r="AJ43" i="267"/>
  <c r="T43" i="267"/>
  <c r="S43" i="267"/>
  <c r="P43" i="267"/>
  <c r="G43" i="267"/>
  <c r="Q43" i="267" s="1"/>
  <c r="B43" i="267"/>
  <c r="AJ17" i="267"/>
  <c r="T17" i="267"/>
  <c r="S17" i="267"/>
  <c r="R17" i="267"/>
  <c r="Q17" i="267"/>
  <c r="G17" i="267"/>
  <c r="B17" i="267"/>
  <c r="P17" i="267" s="1"/>
  <c r="AJ16" i="267"/>
  <c r="T16" i="267"/>
  <c r="S16" i="267"/>
  <c r="R16" i="267"/>
  <c r="G16" i="267"/>
  <c r="Q16" i="267" s="1"/>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G15" i="265"/>
  <c r="Q15" i="265" s="1"/>
  <c r="B15" i="265"/>
  <c r="P15" i="265" s="1"/>
  <c r="AJ19" i="265"/>
  <c r="T19" i="265"/>
  <c r="S19" i="265"/>
  <c r="G19" i="265"/>
  <c r="R19" i="265" s="1"/>
  <c r="B19" i="265"/>
  <c r="P19" i="265" s="1"/>
  <c r="AJ18" i="265"/>
  <c r="T18" i="265"/>
  <c r="S18" i="265"/>
  <c r="G18" i="265"/>
  <c r="R18" i="265" s="1"/>
  <c r="B18" i="265"/>
  <c r="P18" i="265" s="1"/>
  <c r="AJ17" i="265"/>
  <c r="T17" i="265"/>
  <c r="S17" i="265"/>
  <c r="G17" i="265"/>
  <c r="R17" i="265" s="1"/>
  <c r="B17" i="265"/>
  <c r="P17" i="265" s="1"/>
  <c r="AJ16" i="265"/>
  <c r="T16" i="265"/>
  <c r="S16" i="265"/>
  <c r="G16" i="265"/>
  <c r="Q16" i="265" s="1"/>
  <c r="B16" i="265"/>
  <c r="P16" i="265" s="1"/>
  <c r="AJ14" i="265"/>
  <c r="T14" i="265"/>
  <c r="S14" i="265"/>
  <c r="G14" i="265"/>
  <c r="Q14" i="265" s="1"/>
  <c r="B14" i="265"/>
  <c r="P14" i="265" s="1"/>
  <c r="AJ13" i="265"/>
  <c r="T13" i="265"/>
  <c r="S13" i="265"/>
  <c r="R13" i="265"/>
  <c r="G13" i="265"/>
  <c r="Q13" i="265" s="1"/>
  <c r="B13" i="265"/>
  <c r="P13" i="265" s="1"/>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G18" i="264"/>
  <c r="R18" i="264" s="1"/>
  <c r="B18" i="264"/>
  <c r="P18" i="264" s="1"/>
  <c r="AJ17" i="264"/>
  <c r="T17" i="264"/>
  <c r="S17" i="264"/>
  <c r="G17" i="264"/>
  <c r="Q17" i="264" s="1"/>
  <c r="B17" i="264"/>
  <c r="P17" i="264" s="1"/>
  <c r="AJ16" i="264"/>
  <c r="T16" i="264"/>
  <c r="S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G13" i="264"/>
  <c r="Q13" i="264" s="1"/>
  <c r="B13" i="264"/>
  <c r="P13" i="264" s="1"/>
  <c r="AJ20" i="263"/>
  <c r="T20" i="263"/>
  <c r="S20" i="263"/>
  <c r="P20" i="263"/>
  <c r="G20" i="263"/>
  <c r="Q20" i="263" s="1"/>
  <c r="B20" i="263"/>
  <c r="AJ19" i="263"/>
  <c r="T19" i="263"/>
  <c r="S19" i="263"/>
  <c r="R19" i="263"/>
  <c r="G19" i="263"/>
  <c r="Q19" i="263" s="1"/>
  <c r="B19" i="263"/>
  <c r="P19" i="263" s="1"/>
  <c r="AJ18" i="263"/>
  <c r="T18" i="263"/>
  <c r="S18" i="263"/>
  <c r="R18" i="263"/>
  <c r="G18" i="263"/>
  <c r="Q18" i="263" s="1"/>
  <c r="B18" i="263"/>
  <c r="P18" i="263" s="1"/>
  <c r="AJ22" i="263"/>
  <c r="T22" i="263"/>
  <c r="S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G153" i="262"/>
  <c r="Q153" i="262" s="1"/>
  <c r="B153" i="262"/>
  <c r="P153" i="262" s="1"/>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G145" i="262"/>
  <c r="Q145" i="262" s="1"/>
  <c r="B145" i="262"/>
  <c r="P145" i="262" s="1"/>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G129" i="262"/>
  <c r="Q129" i="262" s="1"/>
  <c r="B129" i="262"/>
  <c r="P129" i="262" s="1"/>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G123" i="262"/>
  <c r="Q123" i="262" s="1"/>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G105" i="262"/>
  <c r="Q105" i="262" s="1"/>
  <c r="B105" i="262"/>
  <c r="P105" i="262" s="1"/>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G99" i="262"/>
  <c r="Q99" i="262" s="1"/>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G89" i="262"/>
  <c r="Q89" i="262" s="1"/>
  <c r="B89" i="262"/>
  <c r="P89" i="262" s="1"/>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G83" i="262"/>
  <c r="Q83" i="262" s="1"/>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G67" i="262"/>
  <c r="Q67" i="262" s="1"/>
  <c r="B67" i="262"/>
  <c r="P67" i="262" s="1"/>
  <c r="AJ66" i="262"/>
  <c r="T66" i="262"/>
  <c r="S66" i="262"/>
  <c r="R66" i="262"/>
  <c r="G66" i="262"/>
  <c r="Q66" i="262" s="1"/>
  <c r="B66" i="262"/>
  <c r="P66" i="262" s="1"/>
  <c r="AJ65" i="262"/>
  <c r="T65" i="262"/>
  <c r="S65" i="262"/>
  <c r="R65" i="262"/>
  <c r="G65" i="262"/>
  <c r="Q65" i="262" s="1"/>
  <c r="B65" i="262"/>
  <c r="P65" i="262" s="1"/>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G41" i="262"/>
  <c r="Q41" i="262" s="1"/>
  <c r="B41" i="262"/>
  <c r="P41" i="262" s="1"/>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G19" i="261"/>
  <c r="Q19" i="261" s="1"/>
  <c r="B19" i="261"/>
  <c r="P19" i="261" s="1"/>
  <c r="AJ18" i="261"/>
  <c r="T18" i="261"/>
  <c r="S18" i="261"/>
  <c r="R18" i="261"/>
  <c r="G18" i="261"/>
  <c r="Q18" i="261" s="1"/>
  <c r="B18" i="261"/>
  <c r="P18" i="261" s="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G13" i="261"/>
  <c r="Q13" i="261" s="1"/>
  <c r="B13" i="261"/>
  <c r="P13" i="261" s="1"/>
  <c r="AJ17" i="260"/>
  <c r="T17" i="260"/>
  <c r="S17" i="260"/>
  <c r="R17" i="260"/>
  <c r="G17" i="260"/>
  <c r="Q17" i="260" s="1"/>
  <c r="B17" i="260"/>
  <c r="P17" i="260" s="1"/>
  <c r="AJ16" i="260"/>
  <c r="T16" i="260"/>
  <c r="S16" i="260"/>
  <c r="R16" i="260"/>
  <c r="G16" i="260"/>
  <c r="Q16" i="260" s="1"/>
  <c r="B16" i="260"/>
  <c r="P16" i="260" s="1"/>
  <c r="AJ15" i="260"/>
  <c r="T15" i="260"/>
  <c r="S15" i="260"/>
  <c r="R15" i="260"/>
  <c r="G15" i="260"/>
  <c r="Q15" i="260" s="1"/>
  <c r="B15" i="260"/>
  <c r="P15" i="260" s="1"/>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G14" i="259"/>
  <c r="Q14" i="259" s="1"/>
  <c r="B14" i="259"/>
  <c r="P14" i="259" s="1"/>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G13" i="257"/>
  <c r="Q13" i="257" s="1"/>
  <c r="B13" i="257"/>
  <c r="P13" i="257" s="1"/>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G19" i="255"/>
  <c r="Q19" i="255" s="1"/>
  <c r="B19" i="255"/>
  <c r="P19" i="255" s="1"/>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G13" i="255"/>
  <c r="Q13" i="255" s="1"/>
  <c r="B13" i="255"/>
  <c r="P13" i="255" s="1"/>
  <c r="AJ41" i="254"/>
  <c r="T41" i="254"/>
  <c r="S41" i="254"/>
  <c r="R41" i="254"/>
  <c r="G41" i="254"/>
  <c r="Q41" i="254" s="1"/>
  <c r="B41" i="254"/>
  <c r="P41" i="254" s="1"/>
  <c r="AJ23" i="254"/>
  <c r="T23" i="254"/>
  <c r="S23" i="254"/>
  <c r="R23" i="254"/>
  <c r="G23" i="254"/>
  <c r="Q23" i="254" s="1"/>
  <c r="B23" i="254"/>
  <c r="P23" i="254" s="1"/>
  <c r="AJ22" i="254"/>
  <c r="T22" i="254"/>
  <c r="S22" i="254"/>
  <c r="R22" i="254"/>
  <c r="P22" i="254"/>
  <c r="G22" i="254"/>
  <c r="Q22" i="254" s="1"/>
  <c r="B22" i="254"/>
  <c r="AJ21" i="254"/>
  <c r="T21" i="254"/>
  <c r="S21" i="254"/>
  <c r="R21" i="254"/>
  <c r="G21" i="254"/>
  <c r="Q21" i="254" s="1"/>
  <c r="B21" i="254"/>
  <c r="P21" i="254" s="1"/>
  <c r="AJ20" i="254"/>
  <c r="T20" i="254"/>
  <c r="S20" i="254"/>
  <c r="R20" i="254"/>
  <c r="G20" i="254"/>
  <c r="Q20" i="254" s="1"/>
  <c r="B20" i="254"/>
  <c r="P20" i="254" s="1"/>
  <c r="AJ19" i="254"/>
  <c r="T19" i="254"/>
  <c r="S19" i="254"/>
  <c r="R19" i="254"/>
  <c r="G19" i="254"/>
  <c r="Q19" i="254" s="1"/>
  <c r="B19" i="254"/>
  <c r="P19" i="254" s="1"/>
  <c r="AJ18" i="254"/>
  <c r="T18" i="254"/>
  <c r="S18" i="254"/>
  <c r="R18" i="254"/>
  <c r="G18" i="254"/>
  <c r="Q18" i="254" s="1"/>
  <c r="B18" i="254"/>
  <c r="P18" i="254" s="1"/>
  <c r="AJ17" i="254"/>
  <c r="T17" i="254"/>
  <c r="S17" i="254"/>
  <c r="R17" i="254"/>
  <c r="G17" i="254"/>
  <c r="Q17" i="254" s="1"/>
  <c r="B17" i="254"/>
  <c r="P17" i="254" s="1"/>
  <c r="AJ16" i="254"/>
  <c r="T16" i="254"/>
  <c r="S16" i="254"/>
  <c r="R16" i="254"/>
  <c r="G16" i="254"/>
  <c r="Q16" i="254" s="1"/>
  <c r="B16" i="254"/>
  <c r="P16" i="254" s="1"/>
  <c r="AJ15" i="254"/>
  <c r="T15" i="254"/>
  <c r="S15" i="254"/>
  <c r="R15" i="254"/>
  <c r="G15" i="254"/>
  <c r="Q15" i="254" s="1"/>
  <c r="B15" i="254"/>
  <c r="P15" i="254" s="1"/>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G37" i="254"/>
  <c r="Q37" i="254" s="1"/>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G32" i="254"/>
  <c r="Q32" i="254" s="1"/>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G24" i="254"/>
  <c r="Q24" i="254" s="1"/>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G20" i="253"/>
  <c r="Q20" i="253" s="1"/>
  <c r="B20" i="253"/>
  <c r="P20" i="253" s="1"/>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G16" i="253"/>
  <c r="Q16" i="253" s="1"/>
  <c r="B16" i="253"/>
  <c r="P16" i="253" s="1"/>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G17" i="250"/>
  <c r="R17" i="250" s="1"/>
  <c r="B17" i="250"/>
  <c r="P17" i="250" s="1"/>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G24" i="249"/>
  <c r="Q24" i="249" s="1"/>
  <c r="B24" i="249"/>
  <c r="P24" i="249" s="1"/>
  <c r="AJ23" i="249"/>
  <c r="T23" i="249"/>
  <c r="S23" i="249"/>
  <c r="R23" i="249"/>
  <c r="G23" i="249"/>
  <c r="Q23" i="249" s="1"/>
  <c r="B23" i="249"/>
  <c r="P23" i="249" s="1"/>
  <c r="AJ22" i="249"/>
  <c r="T22" i="249"/>
  <c r="S22" i="249"/>
  <c r="G22" i="249"/>
  <c r="Q22" i="249" s="1"/>
  <c r="B22" i="249"/>
  <c r="P22" i="249" s="1"/>
  <c r="AJ21" i="249"/>
  <c r="T21" i="249"/>
  <c r="S21" i="249"/>
  <c r="R21" i="249"/>
  <c r="G21" i="249"/>
  <c r="Q21" i="249" s="1"/>
  <c r="B21" i="249"/>
  <c r="P21" i="249" s="1"/>
  <c r="AJ20" i="249"/>
  <c r="T20" i="249"/>
  <c r="S20" i="249"/>
  <c r="P20" i="249"/>
  <c r="G20" i="249"/>
  <c r="Q20" i="249" s="1"/>
  <c r="B20" i="249"/>
  <c r="AJ26" i="249"/>
  <c r="T26" i="249"/>
  <c r="S26" i="249"/>
  <c r="G26" i="249"/>
  <c r="Q26" i="249" s="1"/>
  <c r="B26" i="249"/>
  <c r="P26" i="249" s="1"/>
  <c r="AJ25" i="249"/>
  <c r="T25" i="249"/>
  <c r="S25" i="249"/>
  <c r="R25" i="249"/>
  <c r="G25" i="249"/>
  <c r="Q25" i="249" s="1"/>
  <c r="B25" i="249"/>
  <c r="P25" i="249" s="1"/>
  <c r="AJ19" i="249"/>
  <c r="T19" i="249"/>
  <c r="S19" i="249"/>
  <c r="R19" i="249"/>
  <c r="Q19" i="249"/>
  <c r="G19" i="249"/>
  <c r="B19" i="249"/>
  <c r="P19" i="249" s="1"/>
  <c r="AJ18" i="249"/>
  <c r="T18" i="249"/>
  <c r="S18" i="249"/>
  <c r="G18" i="249"/>
  <c r="Q18" i="249" s="1"/>
  <c r="B18" i="249"/>
  <c r="P18" i="249" s="1"/>
  <c r="AJ17" i="249"/>
  <c r="T17" i="249"/>
  <c r="S17" i="249"/>
  <c r="R17" i="249"/>
  <c r="G17" i="249"/>
  <c r="Q17" i="249" s="1"/>
  <c r="B17" i="249"/>
  <c r="P17" i="249" s="1"/>
  <c r="AJ16" i="249"/>
  <c r="T16" i="249"/>
  <c r="S16" i="249"/>
  <c r="R16" i="249"/>
  <c r="G16" i="249"/>
  <c r="Q16" i="249" s="1"/>
  <c r="B16" i="249"/>
  <c r="P16" i="249" s="1"/>
  <c r="AJ15" i="249"/>
  <c r="T15" i="249"/>
  <c r="S15" i="249"/>
  <c r="G15" i="249"/>
  <c r="Q15" i="249" s="1"/>
  <c r="B15" i="249"/>
  <c r="P15" i="249" s="1"/>
  <c r="AJ14" i="249"/>
  <c r="T14" i="249"/>
  <c r="S14" i="249"/>
  <c r="R14" i="249"/>
  <c r="G14" i="249"/>
  <c r="Q14" i="249" s="1"/>
  <c r="B14" i="249"/>
  <c r="P14" i="249" s="1"/>
  <c r="AJ13" i="249"/>
  <c r="T13" i="249"/>
  <c r="S13" i="249"/>
  <c r="R13" i="249"/>
  <c r="G13" i="249"/>
  <c r="Q13" i="249" s="1"/>
  <c r="B13" i="249"/>
  <c r="P13" i="249" s="1"/>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G19" i="248"/>
  <c r="Q19" i="248" s="1"/>
  <c r="B19" i="248"/>
  <c r="P19" i="248" s="1"/>
  <c r="AJ18" i="248"/>
  <c r="T18" i="248"/>
  <c r="S18" i="248"/>
  <c r="R18" i="248"/>
  <c r="P18" i="248"/>
  <c r="G18" i="248"/>
  <c r="Q18" i="248" s="1"/>
  <c r="B18" i="248"/>
  <c r="AJ17" i="248"/>
  <c r="T17" i="248"/>
  <c r="S17" i="248"/>
  <c r="R17" i="248"/>
  <c r="G17" i="248"/>
  <c r="Q17" i="248" s="1"/>
  <c r="B17" i="248"/>
  <c r="P17" i="248" s="1"/>
  <c r="AJ16" i="248"/>
  <c r="T16" i="248"/>
  <c r="S16" i="248"/>
  <c r="R16" i="248"/>
  <c r="G16" i="248"/>
  <c r="Q16" i="248" s="1"/>
  <c r="B16" i="248"/>
  <c r="P16" i="248" s="1"/>
  <c r="AJ15" i="248"/>
  <c r="T15" i="248"/>
  <c r="S15" i="248"/>
  <c r="R15" i="248"/>
  <c r="G15" i="248"/>
  <c r="Q15" i="248" s="1"/>
  <c r="B15" i="248"/>
  <c r="P15" i="248" s="1"/>
  <c r="AJ21" i="248"/>
  <c r="T21" i="248"/>
  <c r="S21" i="248"/>
  <c r="R21" i="248"/>
  <c r="G21" i="248"/>
  <c r="Q21" i="248" s="1"/>
  <c r="B21" i="248"/>
  <c r="P21" i="248" s="1"/>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G16" i="247"/>
  <c r="Q16" i="247" s="1"/>
  <c r="B16" i="247"/>
  <c r="P16" i="247" s="1"/>
  <c r="AJ15" i="247"/>
  <c r="T15" i="247"/>
  <c r="S15" i="247"/>
  <c r="R15" i="247"/>
  <c r="G15" i="247"/>
  <c r="Q15" i="247" s="1"/>
  <c r="B15" i="247"/>
  <c r="P15" i="247" s="1"/>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G19" i="244"/>
  <c r="Q19" i="244" s="1"/>
  <c r="B19" i="244"/>
  <c r="P19" i="244" s="1"/>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G17" i="243"/>
  <c r="Q17" i="243" s="1"/>
  <c r="B17" i="243"/>
  <c r="P17" i="243" s="1"/>
  <c r="AJ16" i="243"/>
  <c r="T16" i="243"/>
  <c r="S16" i="243"/>
  <c r="R16" i="243"/>
  <c r="P16" i="243"/>
  <c r="G16" i="243"/>
  <c r="Q16" i="243" s="1"/>
  <c r="B16" i="243"/>
  <c r="AJ15" i="243"/>
  <c r="T15" i="243"/>
  <c r="S15" i="243"/>
  <c r="R15" i="243"/>
  <c r="P15" i="243"/>
  <c r="G15" i="243"/>
  <c r="Q15" i="243" s="1"/>
  <c r="B15" i="243"/>
  <c r="AJ14" i="243"/>
  <c r="T14" i="243"/>
  <c r="S14" i="243"/>
  <c r="R14" i="243"/>
  <c r="G14" i="243"/>
  <c r="Q14" i="243" s="1"/>
  <c r="B14" i="243"/>
  <c r="P14" i="243" s="1"/>
  <c r="AJ13" i="243"/>
  <c r="T13" i="243"/>
  <c r="S13" i="243"/>
  <c r="R13" i="243"/>
  <c r="G13" i="243"/>
  <c r="Q13" i="243" s="1"/>
  <c r="B13" i="243"/>
  <c r="P13" i="243" s="1"/>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G16" i="242"/>
  <c r="Q16" i="242" s="1"/>
  <c r="B16" i="242"/>
  <c r="P16" i="242" s="1"/>
  <c r="AJ15" i="242"/>
  <c r="T15" i="242"/>
  <c r="S15" i="242"/>
  <c r="R15" i="242"/>
  <c r="G15" i="242"/>
  <c r="Q15" i="242" s="1"/>
  <c r="B15" i="242"/>
  <c r="P15" i="242" s="1"/>
  <c r="AJ14" i="242"/>
  <c r="T14" i="242"/>
  <c r="S14" i="242"/>
  <c r="R14" i="242"/>
  <c r="G14" i="242"/>
  <c r="Q14" i="242" s="1"/>
  <c r="B14" i="242"/>
  <c r="P14" i="242" s="1"/>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G17" i="240"/>
  <c r="Q17" i="240" s="1"/>
  <c r="B17" i="240"/>
  <c r="P17" i="240" s="1"/>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G18" i="238"/>
  <c r="Q18" i="238" s="1"/>
  <c r="B18" i="238"/>
  <c r="P18" i="238" s="1"/>
  <c r="AJ17" i="238"/>
  <c r="T17" i="238"/>
  <c r="S17" i="238"/>
  <c r="R17" i="238"/>
  <c r="G17" i="238"/>
  <c r="Q17" i="238" s="1"/>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G33" i="237"/>
  <c r="Q33" i="237" s="1"/>
  <c r="B33" i="237"/>
  <c r="P33" i="237" s="1"/>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G30" i="237"/>
  <c r="Q30" i="237" s="1"/>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G23" i="237"/>
  <c r="B23" i="237"/>
  <c r="P23" i="237" s="1"/>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G16" i="237"/>
  <c r="Q16" i="237" s="1"/>
  <c r="B16" i="237"/>
  <c r="P16" i="237" s="1"/>
  <c r="AJ15" i="237"/>
  <c r="T15" i="237"/>
  <c r="S15" i="237"/>
  <c r="R15" i="237"/>
  <c r="Q15" i="237"/>
  <c r="G15" i="237"/>
  <c r="B15" i="237"/>
  <c r="P15" i="237" s="1"/>
  <c r="AJ14" i="237"/>
  <c r="T14" i="237"/>
  <c r="S14" i="237"/>
  <c r="R14" i="237"/>
  <c r="G14" i="237"/>
  <c r="Q14" i="237" s="1"/>
  <c r="B14" i="237"/>
  <c r="P14" i="237" s="1"/>
  <c r="AJ13" i="237"/>
  <c r="T13" i="237"/>
  <c r="S13" i="237"/>
  <c r="R13" i="237"/>
  <c r="G13" i="237"/>
  <c r="Q13" i="237" s="1"/>
  <c r="B13" i="237"/>
  <c r="P13" i="237" s="1"/>
  <c r="AM65" i="25"/>
  <c r="AM63" i="25"/>
  <c r="AM34" i="25"/>
  <c r="AM60" i="25"/>
  <c r="AM95" i="25"/>
  <c r="AM93" i="25"/>
  <c r="AM56" i="25"/>
  <c r="AM98" i="25"/>
  <c r="AM76" i="25"/>
  <c r="AM96" i="25"/>
  <c r="AM72" i="25"/>
  <c r="AM75" i="25"/>
  <c r="AM58" i="25"/>
  <c r="AM23" i="25"/>
  <c r="AM59" i="25"/>
  <c r="AM71" i="25"/>
  <c r="AM78" i="25"/>
  <c r="AM33" i="25"/>
  <c r="AM77" i="25"/>
  <c r="AM69" i="25"/>
  <c r="AM68" i="25"/>
  <c r="AM27" i="25"/>
  <c r="AM62" i="25"/>
  <c r="AM86" i="25"/>
  <c r="AM66" i="25"/>
  <c r="AM87" i="25"/>
  <c r="AM81" i="25"/>
  <c r="AM35" i="25"/>
  <c r="AM92" i="25"/>
  <c r="AM64" i="25"/>
  <c r="AM32" i="25"/>
  <c r="AM20" i="25"/>
  <c r="AM91" i="25"/>
  <c r="AM88" i="25"/>
  <c r="AM24" i="25"/>
  <c r="AM83" i="25"/>
  <c r="AM82" i="25"/>
  <c r="AM22" i="25"/>
  <c r="AM80" i="25"/>
  <c r="AM79" i="25"/>
  <c r="AM74" i="25"/>
  <c r="AM97" i="25"/>
  <c r="AM84" i="25"/>
  <c r="AM29" i="25"/>
  <c r="AM31" i="25"/>
  <c r="AM25" i="25"/>
  <c r="AM85" i="25"/>
  <c r="AM73" i="25"/>
  <c r="AM57" i="25"/>
  <c r="AM26" i="25"/>
  <c r="AM61" i="25"/>
  <c r="AM28" i="25"/>
  <c r="AM67" i="25"/>
  <c r="AM89" i="25"/>
  <c r="AM21" i="25"/>
  <c r="AM94" i="25"/>
  <c r="R20" i="249" l="1"/>
  <c r="R20" i="263"/>
  <c r="Q24" i="267"/>
  <c r="R15" i="249"/>
  <c r="R26" i="249"/>
  <c r="R16" i="264"/>
  <c r="R15" i="265"/>
  <c r="Q17" i="275"/>
  <c r="R24" i="249"/>
  <c r="R16" i="265"/>
  <c r="R18" i="249"/>
  <c r="R22" i="249"/>
  <c r="R13" i="251"/>
  <c r="R13" i="252"/>
  <c r="R22" i="263"/>
  <c r="R14" i="265"/>
  <c r="Q31" i="267"/>
  <c r="Q28" i="277"/>
  <c r="R19" i="274"/>
  <c r="Q18" i="267"/>
  <c r="R17" i="264"/>
  <c r="R21" i="279"/>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5" i="25"/>
  <c r="AM14" i="25"/>
  <c r="BK14" i="25" l="1"/>
  <c r="A14" i="25"/>
  <c r="AM13" i="25"/>
  <c r="BK13" i="25" l="1"/>
  <c r="A13" i="25"/>
  <c r="BK12" i="25"/>
  <c r="A12" i="25"/>
  <c r="BK11" i="25"/>
  <c r="A11" i="25"/>
  <c r="BK10" i="25"/>
  <c r="A10" i="25"/>
  <c r="BK9" i="25"/>
  <c r="A9" i="25"/>
  <c r="BK8" i="25"/>
  <c r="A8" i="25"/>
  <c r="AJ32" i="236"/>
  <c r="T32" i="236"/>
  <c r="S32" i="236"/>
  <c r="R32" i="236"/>
  <c r="G32" i="236"/>
  <c r="Q32" i="236" s="1"/>
  <c r="B32" i="236"/>
  <c r="P32" i="236" s="1"/>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G28" i="236"/>
  <c r="Q28" i="236" s="1"/>
  <c r="B28" i="236"/>
  <c r="P28" i="236" s="1"/>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G24" i="236"/>
  <c r="Q24" i="236" s="1"/>
  <c r="B24" i="236"/>
  <c r="P24" i="236" s="1"/>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11" i="25"/>
  <c r="AM8" i="25"/>
  <c r="AM9" i="25"/>
  <c r="AM10" i="25"/>
  <c r="AM12" i="25"/>
  <c r="Q17" i="236" l="1"/>
  <c r="AJ23" i="235" l="1"/>
  <c r="T23" i="235"/>
  <c r="S23" i="235"/>
  <c r="R23" i="235"/>
  <c r="G23" i="235"/>
  <c r="Q23" i="235" s="1"/>
  <c r="B23" i="235"/>
  <c r="P23" i="235" s="1"/>
  <c r="AJ26" i="235"/>
  <c r="T26" i="235"/>
  <c r="S26" i="235"/>
  <c r="R26" i="235"/>
  <c r="G26" i="235"/>
  <c r="Q26" i="235" s="1"/>
  <c r="B26" i="235"/>
  <c r="P26" i="235" s="1"/>
  <c r="AJ25" i="235"/>
  <c r="T25" i="235"/>
  <c r="S25" i="235"/>
  <c r="R25" i="235"/>
  <c r="G25" i="235"/>
  <c r="Q25" i="235" s="1"/>
  <c r="B25" i="235"/>
  <c r="P25" i="235" s="1"/>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G13" i="235"/>
  <c r="Q13" i="235" s="1"/>
  <c r="B13" i="235"/>
  <c r="P13" i="235" s="1"/>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G23" i="234"/>
  <c r="Q23" i="234" s="1"/>
  <c r="B23" i="234"/>
  <c r="P23" i="234" s="1"/>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G16" i="232"/>
  <c r="Q16" i="232" s="1"/>
  <c r="B16" i="232"/>
  <c r="P16" i="232" s="1"/>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45" i="25"/>
  <c r="A145" i="25"/>
  <c r="BK144" i="25"/>
  <c r="A144" i="25"/>
  <c r="BK143" i="25"/>
  <c r="A143" i="25"/>
  <c r="AJ37" i="231"/>
  <c r="T37" i="231"/>
  <c r="S37" i="231"/>
  <c r="R37" i="231"/>
  <c r="G37" i="231"/>
  <c r="Q37" i="231" s="1"/>
  <c r="B37" i="231"/>
  <c r="P37" i="231" s="1"/>
  <c r="AJ36" i="231"/>
  <c r="T36" i="231"/>
  <c r="S36" i="231"/>
  <c r="R36" i="231"/>
  <c r="P36" i="231"/>
  <c r="G36" i="231"/>
  <c r="Q36" i="231" s="1"/>
  <c r="B36" i="231"/>
  <c r="AJ40" i="231"/>
  <c r="T40" i="231"/>
  <c r="S40" i="231"/>
  <c r="R40" i="231"/>
  <c r="P40" i="231"/>
  <c r="G40" i="231"/>
  <c r="Q40" i="231" s="1"/>
  <c r="B40" i="231"/>
  <c r="AJ39" i="231"/>
  <c r="T39" i="231"/>
  <c r="S39" i="231"/>
  <c r="R39" i="231"/>
  <c r="P39" i="231"/>
  <c r="G39" i="231"/>
  <c r="Q39" i="231" s="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G29" i="231"/>
  <c r="Q29" i="231" s="1"/>
  <c r="B29" i="231"/>
  <c r="P29" i="231" s="1"/>
  <c r="AJ28" i="231"/>
  <c r="T28" i="231"/>
  <c r="S28" i="231"/>
  <c r="R28" i="231"/>
  <c r="G28" i="231"/>
  <c r="Q28" i="231" s="1"/>
  <c r="B28" i="231"/>
  <c r="P28" i="231" s="1"/>
  <c r="AJ27" i="231"/>
  <c r="T27" i="231"/>
  <c r="S27" i="231"/>
  <c r="R27" i="231"/>
  <c r="G27" i="231"/>
  <c r="Q27" i="231" s="1"/>
  <c r="B27" i="231"/>
  <c r="P27" i="231" s="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G21" i="231"/>
  <c r="Q21" i="231" s="1"/>
  <c r="B21" i="231"/>
  <c r="P21" i="231" s="1"/>
  <c r="AJ20" i="231"/>
  <c r="T20" i="231"/>
  <c r="S20" i="231"/>
  <c r="R20" i="231"/>
  <c r="G20" i="231"/>
  <c r="Q20" i="231" s="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G14" i="231"/>
  <c r="Q14" i="231" s="1"/>
  <c r="B14" i="231"/>
  <c r="P14" i="231" s="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G14" i="230"/>
  <c r="Q14" i="230" s="1"/>
  <c r="B14" i="230"/>
  <c r="P14" i="230" s="1"/>
  <c r="AJ13" i="230"/>
  <c r="T13" i="230"/>
  <c r="S13" i="230"/>
  <c r="R13" i="230"/>
  <c r="G13" i="230"/>
  <c r="Q13" i="230" s="1"/>
  <c r="B13" i="230"/>
  <c r="P13" i="230" s="1"/>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G27" i="229"/>
  <c r="Q27" i="229" s="1"/>
  <c r="B27" i="229"/>
  <c r="P27" i="229" s="1"/>
  <c r="AJ26" i="229"/>
  <c r="T26" i="229"/>
  <c r="S26" i="229"/>
  <c r="R26" i="229"/>
  <c r="G26" i="229"/>
  <c r="Q26" i="229" s="1"/>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G22" i="229"/>
  <c r="R22" i="229" s="1"/>
  <c r="B22" i="229"/>
  <c r="P22" i="229" s="1"/>
  <c r="AJ21" i="229"/>
  <c r="T21" i="229"/>
  <c r="S21" i="229"/>
  <c r="R21" i="229"/>
  <c r="G21" i="229"/>
  <c r="Q21" i="229" s="1"/>
  <c r="B21" i="229"/>
  <c r="P21" i="229" s="1"/>
  <c r="AJ15" i="229"/>
  <c r="T15" i="229"/>
  <c r="S15" i="229"/>
  <c r="R15" i="229"/>
  <c r="G15" i="229"/>
  <c r="Q15" i="229" s="1"/>
  <c r="B15" i="229"/>
  <c r="P15" i="229" s="1"/>
  <c r="AJ14" i="229"/>
  <c r="T14" i="229"/>
  <c r="S14" i="229"/>
  <c r="R14" i="229"/>
  <c r="G14" i="229"/>
  <c r="Q14" i="229" s="1"/>
  <c r="B14" i="229"/>
  <c r="P14" i="229" s="1"/>
  <c r="AJ13" i="229"/>
  <c r="T13" i="229"/>
  <c r="S13" i="229"/>
  <c r="R13" i="229"/>
  <c r="G13" i="229"/>
  <c r="Q13" i="229" s="1"/>
  <c r="B13" i="229"/>
  <c r="P13" i="229" s="1"/>
  <c r="AM144" i="25"/>
  <c r="AM143" i="25"/>
  <c r="AM145" i="25"/>
  <c r="Q17" i="234" l="1"/>
  <c r="R22" i="230"/>
  <c r="Q17" i="235"/>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G19" i="228"/>
  <c r="Q19" i="228" s="1"/>
  <c r="B19" i="228"/>
  <c r="P19" i="228" s="1"/>
  <c r="AJ18" i="228"/>
  <c r="T18" i="228"/>
  <c r="S18" i="228"/>
  <c r="R18" i="228"/>
  <c r="G18" i="228"/>
  <c r="Q18" i="228" s="1"/>
  <c r="B18" i="228"/>
  <c r="P18" i="228" s="1"/>
  <c r="AJ17" i="228"/>
  <c r="T17" i="228"/>
  <c r="S17" i="228"/>
  <c r="G17" i="228"/>
  <c r="R17" i="228" s="1"/>
  <c r="B17" i="228"/>
  <c r="P17" i="228" s="1"/>
  <c r="AJ16" i="228"/>
  <c r="T16" i="228"/>
  <c r="S16" i="228"/>
  <c r="R16" i="228"/>
  <c r="P16" i="228"/>
  <c r="G16" i="228"/>
  <c r="Q16" i="228" s="1"/>
  <c r="B16" i="228"/>
  <c r="AJ15" i="228"/>
  <c r="T15" i="228"/>
  <c r="S15" i="228"/>
  <c r="R15" i="228"/>
  <c r="G15" i="228"/>
  <c r="Q15" i="228" s="1"/>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G25" i="227"/>
  <c r="Q25" i="227" s="1"/>
  <c r="B25" i="227"/>
  <c r="P25" i="227" s="1"/>
  <c r="AJ24" i="227"/>
  <c r="T24" i="227"/>
  <c r="S24" i="227"/>
  <c r="R24" i="227"/>
  <c r="G24" i="227"/>
  <c r="Q24" i="227" s="1"/>
  <c r="B24" i="227"/>
  <c r="P24" i="227" s="1"/>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G19" i="227"/>
  <c r="Q19" i="227" s="1"/>
  <c r="B19" i="227"/>
  <c r="P19" i="227" s="1"/>
  <c r="AJ18" i="227"/>
  <c r="T18" i="227"/>
  <c r="S18" i="227"/>
  <c r="R18" i="227"/>
  <c r="G18" i="227"/>
  <c r="Q18" i="227" s="1"/>
  <c r="B18" i="227"/>
  <c r="P18" i="227" s="1"/>
  <c r="AJ17" i="227"/>
  <c r="T17" i="227"/>
  <c r="S17" i="227"/>
  <c r="G17" i="227"/>
  <c r="R17" i="227" s="1"/>
  <c r="B17" i="227"/>
  <c r="P17" i="227" s="1"/>
  <c r="AJ16" i="227"/>
  <c r="T16" i="227"/>
  <c r="S16" i="227"/>
  <c r="R16" i="227"/>
  <c r="G16" i="227"/>
  <c r="Q16" i="227" s="1"/>
  <c r="B16" i="227"/>
  <c r="P16" i="227" s="1"/>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G16" i="226"/>
  <c r="Q16" i="226" s="1"/>
  <c r="B16" i="226"/>
  <c r="P16" i="226" s="1"/>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G24" i="225"/>
  <c r="Q24" i="225" s="1"/>
  <c r="B24" i="225"/>
  <c r="P24" i="225" s="1"/>
  <c r="AJ23" i="225"/>
  <c r="T23" i="225"/>
  <c r="S23" i="225"/>
  <c r="R23" i="225"/>
  <c r="G23" i="225"/>
  <c r="Q23" i="225" s="1"/>
  <c r="B23" i="225"/>
  <c r="P23" i="225" s="1"/>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G13" i="224"/>
  <c r="Q13" i="224" s="1"/>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G22" i="221"/>
  <c r="Q22" i="221" s="1"/>
  <c r="B22" i="221"/>
  <c r="P22" i="221" s="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G18" i="221"/>
  <c r="Q18" i="221" s="1"/>
  <c r="B18" i="221"/>
  <c r="P18" i="221" s="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G27" i="220"/>
  <c r="Q27" i="220" s="1"/>
  <c r="B27" i="220"/>
  <c r="P27" i="220" s="1"/>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G21" i="220"/>
  <c r="Q21" i="220" s="1"/>
  <c r="B21" i="220"/>
  <c r="P21" i="220" s="1"/>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G22" i="218"/>
  <c r="Q22" i="218" s="1"/>
  <c r="B22" i="218"/>
  <c r="P22" i="218" s="1"/>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G24" i="217"/>
  <c r="Q24" i="217" s="1"/>
  <c r="B24" i="217"/>
  <c r="P24" i="217" s="1"/>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G16" i="217"/>
  <c r="Q16" i="217" s="1"/>
  <c r="B16" i="217"/>
  <c r="P16" i="217" s="1"/>
  <c r="AJ15" i="217"/>
  <c r="T15" i="217"/>
  <c r="S15" i="217"/>
  <c r="R15" i="217"/>
  <c r="G15" i="217"/>
  <c r="Q15" i="217" s="1"/>
  <c r="B15" i="217"/>
  <c r="P15" i="217" s="1"/>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99" i="25"/>
  <c r="BK146" i="25"/>
  <c r="BK142" i="25"/>
  <c r="BK141" i="25"/>
  <c r="BK140" i="25"/>
  <c r="BK139" i="25"/>
  <c r="BK138" i="25"/>
  <c r="BK137" i="25"/>
  <c r="BK136" i="25"/>
  <c r="BK135" i="25"/>
  <c r="BK134" i="25"/>
  <c r="BK133" i="25"/>
  <c r="BK132" i="25"/>
  <c r="BK131" i="25"/>
  <c r="BK130" i="25"/>
  <c r="BK129" i="25"/>
  <c r="BK128" i="25"/>
  <c r="BK127" i="25"/>
  <c r="BK126" i="25"/>
  <c r="A99" i="25"/>
  <c r="A146" i="25"/>
  <c r="A142" i="25"/>
  <c r="A141" i="25"/>
  <c r="A140" i="25"/>
  <c r="A139" i="25"/>
  <c r="A138" i="25"/>
  <c r="A137" i="25"/>
  <c r="A136" i="25"/>
  <c r="A135" i="25"/>
  <c r="A134" i="25"/>
  <c r="A133" i="25"/>
  <c r="A132" i="25"/>
  <c r="A131" i="25"/>
  <c r="A130" i="25"/>
  <c r="A129" i="25"/>
  <c r="A128" i="25"/>
  <c r="A127" i="25"/>
  <c r="A126"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G31" i="215"/>
  <c r="Q31" i="215" s="1"/>
  <c r="B31" i="215"/>
  <c r="P31" i="215" s="1"/>
  <c r="AJ30" i="215"/>
  <c r="T30" i="215"/>
  <c r="S30" i="215"/>
  <c r="R30" i="215"/>
  <c r="G30" i="215"/>
  <c r="Q30" i="215" s="1"/>
  <c r="B30" i="215"/>
  <c r="P30" i="215" s="1"/>
  <c r="AJ29" i="215"/>
  <c r="T29" i="215"/>
  <c r="S29" i="215"/>
  <c r="R29" i="215"/>
  <c r="G29" i="215"/>
  <c r="Q29" i="215" s="1"/>
  <c r="B29" i="215"/>
  <c r="P29" i="215" s="1"/>
  <c r="AJ28" i="215"/>
  <c r="T28" i="215"/>
  <c r="S28" i="215"/>
  <c r="R28" i="215"/>
  <c r="G28" i="215"/>
  <c r="Q28" i="215" s="1"/>
  <c r="B28" i="215"/>
  <c r="P28" i="215" s="1"/>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G15" i="214"/>
  <c r="Q15" i="214" s="1"/>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G26" i="213"/>
  <c r="Q26" i="213" s="1"/>
  <c r="B26" i="213"/>
  <c r="P26" i="213" s="1"/>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G18" i="213"/>
  <c r="R18" i="213" s="1"/>
  <c r="B18" i="213"/>
  <c r="P18" i="213" s="1"/>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G35" i="212"/>
  <c r="Q35" i="212" s="1"/>
  <c r="B35" i="212"/>
  <c r="P35" i="212" s="1"/>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G30" i="212"/>
  <c r="Q30" i="212" s="1"/>
  <c r="B30" i="212"/>
  <c r="P30" i="212" s="1"/>
  <c r="AJ29" i="212"/>
  <c r="T29" i="212"/>
  <c r="S29" i="212"/>
  <c r="R29" i="212"/>
  <c r="G29" i="212"/>
  <c r="Q29" i="212" s="1"/>
  <c r="B29" i="212"/>
  <c r="P29" i="212" s="1"/>
  <c r="AJ28" i="212"/>
  <c r="T28" i="212"/>
  <c r="S28" i="212"/>
  <c r="R28" i="212"/>
  <c r="G28" i="212"/>
  <c r="Q28" i="212" s="1"/>
  <c r="B28" i="212"/>
  <c r="P28" i="212" s="1"/>
  <c r="AJ27" i="212"/>
  <c r="T27" i="212"/>
  <c r="S27" i="212"/>
  <c r="R27" i="212"/>
  <c r="G27" i="212"/>
  <c r="Q27" i="212" s="1"/>
  <c r="B27" i="212"/>
  <c r="P27" i="212" s="1"/>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G14" i="212"/>
  <c r="Q14" i="212" s="1"/>
  <c r="B14" i="212"/>
  <c r="P14" i="212" s="1"/>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G20" i="211"/>
  <c r="R20" i="211" s="1"/>
  <c r="B20" i="211"/>
  <c r="P20" i="211" s="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G32" i="210"/>
  <c r="Q32" i="210" s="1"/>
  <c r="B32" i="210"/>
  <c r="P32" i="210" s="1"/>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G25" i="210"/>
  <c r="Q25" i="210" s="1"/>
  <c r="B25" i="210"/>
  <c r="P25" i="210" s="1"/>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G49" i="209"/>
  <c r="Q49" i="209" s="1"/>
  <c r="B49" i="209"/>
  <c r="P49" i="209" s="1"/>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G42" i="209"/>
  <c r="Q42" i="209" s="1"/>
  <c r="B42" i="209"/>
  <c r="P42" i="209" s="1"/>
  <c r="AJ41" i="209"/>
  <c r="T41" i="209"/>
  <c r="S41" i="209"/>
  <c r="R41" i="209"/>
  <c r="G41" i="209"/>
  <c r="Q41" i="209" s="1"/>
  <c r="B41" i="209"/>
  <c r="P41" i="209" s="1"/>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G26" i="209"/>
  <c r="Q26" i="209" s="1"/>
  <c r="B26" i="209"/>
  <c r="P26" i="209" s="1"/>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G18" i="209"/>
  <c r="R18" i="209" s="1"/>
  <c r="B18" i="209"/>
  <c r="P18" i="209" s="1"/>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G21" i="207"/>
  <c r="Q21" i="207" s="1"/>
  <c r="B21" i="207"/>
  <c r="P21" i="207" s="1"/>
  <c r="AJ20" i="207"/>
  <c r="T20" i="207"/>
  <c r="S20" i="207"/>
  <c r="R20" i="207"/>
  <c r="G20" i="207"/>
  <c r="Q20" i="207" s="1"/>
  <c r="B20" i="207"/>
  <c r="P20" i="207" s="1"/>
  <c r="AJ19" i="207"/>
  <c r="T19" i="207"/>
  <c r="S19" i="207"/>
  <c r="R19" i="207"/>
  <c r="P19" i="207"/>
  <c r="G19" i="207"/>
  <c r="Q19" i="207" s="1"/>
  <c r="B19" i="207"/>
  <c r="AJ18" i="207"/>
  <c r="T18" i="207"/>
  <c r="S18" i="207"/>
  <c r="R18" i="207"/>
  <c r="G18" i="207"/>
  <c r="Q18" i="207" s="1"/>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G15" i="207"/>
  <c r="Q15" i="207" s="1"/>
  <c r="B15" i="207"/>
  <c r="P15" i="207" s="1"/>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G73" i="206"/>
  <c r="Q73" i="206" s="1"/>
  <c r="B73" i="206"/>
  <c r="P73" i="206" s="1"/>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G61" i="206"/>
  <c r="Q61" i="206" s="1"/>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G50" i="206"/>
  <c r="Q50" i="206" s="1"/>
  <c r="B50" i="206"/>
  <c r="P50" i="206" s="1"/>
  <c r="AJ49" i="206"/>
  <c r="T49" i="206"/>
  <c r="S49" i="206"/>
  <c r="R49" i="206"/>
  <c r="G49" i="206"/>
  <c r="Q49" i="206" s="1"/>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G41" i="206"/>
  <c r="Q41" i="206" s="1"/>
  <c r="B41" i="206"/>
  <c r="P41" i="206" s="1"/>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G34" i="206"/>
  <c r="Q34" i="206" s="1"/>
  <c r="B34" i="206"/>
  <c r="P34" i="206" s="1"/>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G30" i="206"/>
  <c r="Q30" i="206" s="1"/>
  <c r="B30" i="206"/>
  <c r="P30" i="206" s="1"/>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G25" i="206"/>
  <c r="Q25" i="206" s="1"/>
  <c r="B25" i="206"/>
  <c r="P25" i="206" s="1"/>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G18" i="206"/>
  <c r="Q18" i="206" s="1"/>
  <c r="B18" i="206"/>
  <c r="P18" i="206" s="1"/>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G29" i="205"/>
  <c r="Q29" i="205" s="1"/>
  <c r="B29" i="205"/>
  <c r="P29" i="205" s="1"/>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G22" i="205"/>
  <c r="Q22" i="205" s="1"/>
  <c r="B22" i="205"/>
  <c r="P22" i="205" s="1"/>
  <c r="AJ21" i="205"/>
  <c r="T21" i="205"/>
  <c r="S21" i="205"/>
  <c r="G21" i="205"/>
  <c r="Q21" i="205" s="1"/>
  <c r="B21" i="205"/>
  <c r="P21" i="205" s="1"/>
  <c r="AJ20" i="205"/>
  <c r="T20" i="205"/>
  <c r="S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1" i="25"/>
  <c r="BK121" i="25"/>
  <c r="BK120" i="25"/>
  <c r="BK119" i="25"/>
  <c r="BK118" i="25"/>
  <c r="BK117" i="25"/>
  <c r="BK116" i="25"/>
  <c r="BK124" i="25"/>
  <c r="A124" i="25"/>
  <c r="BK123" i="25"/>
  <c r="A123" i="25"/>
  <c r="BK122" i="25"/>
  <c r="A122" i="25"/>
  <c r="A121" i="25"/>
  <c r="A120" i="25"/>
  <c r="A119" i="25"/>
  <c r="A118" i="25"/>
  <c r="A117" i="25"/>
  <c r="A116" i="25"/>
  <c r="BK125" i="25"/>
  <c r="A125"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G41" i="204"/>
  <c r="Q41" i="204" s="1"/>
  <c r="B41" i="204"/>
  <c r="P41" i="204" s="1"/>
  <c r="AJ40" i="204"/>
  <c r="T40" i="204"/>
  <c r="S40" i="204"/>
  <c r="R40" i="204"/>
  <c r="P40" i="204"/>
  <c r="G40" i="204"/>
  <c r="Q40" i="204" s="1"/>
  <c r="B40" i="204"/>
  <c r="AJ39" i="204"/>
  <c r="T39" i="204"/>
  <c r="S39" i="204"/>
  <c r="R39" i="204"/>
  <c r="G39" i="204"/>
  <c r="Q39" i="204" s="1"/>
  <c r="B39" i="204"/>
  <c r="P39" i="204" s="1"/>
  <c r="AJ38" i="204"/>
  <c r="T38" i="204"/>
  <c r="S38" i="204"/>
  <c r="R38" i="204"/>
  <c r="G38" i="204"/>
  <c r="Q38" i="204" s="1"/>
  <c r="B38" i="204"/>
  <c r="P38" i="204" s="1"/>
  <c r="AJ37" i="204"/>
  <c r="T37" i="204"/>
  <c r="S37" i="204"/>
  <c r="R37" i="204"/>
  <c r="G37" i="204"/>
  <c r="Q37" i="204" s="1"/>
  <c r="B37" i="204"/>
  <c r="P37" i="204" s="1"/>
  <c r="AJ36" i="204"/>
  <c r="T36" i="204"/>
  <c r="S36" i="204"/>
  <c r="R36" i="204"/>
  <c r="P36" i="204"/>
  <c r="G36" i="204"/>
  <c r="Q36" i="204" s="1"/>
  <c r="B36" i="204"/>
  <c r="AJ35" i="204"/>
  <c r="T35" i="204"/>
  <c r="S35" i="204"/>
  <c r="R35" i="204"/>
  <c r="G35" i="204"/>
  <c r="Q35" i="204" s="1"/>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G31" i="204"/>
  <c r="Q31" i="204" s="1"/>
  <c r="B31" i="204"/>
  <c r="P31" i="204" s="1"/>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G27" i="204"/>
  <c r="Q27" i="204" s="1"/>
  <c r="B27" i="204"/>
  <c r="P27" i="204" s="1"/>
  <c r="AJ26" i="204"/>
  <c r="T26" i="204"/>
  <c r="S26" i="204"/>
  <c r="R26" i="204"/>
  <c r="G26" i="204"/>
  <c r="Q26" i="204" s="1"/>
  <c r="B26" i="204"/>
  <c r="P26" i="204" s="1"/>
  <c r="AJ25" i="204"/>
  <c r="T25" i="204"/>
  <c r="S25" i="204"/>
  <c r="R25" i="204"/>
  <c r="P25" i="204"/>
  <c r="G25" i="204"/>
  <c r="Q25" i="204" s="1"/>
  <c r="B25" i="204"/>
  <c r="AJ24" i="204"/>
  <c r="T24" i="204"/>
  <c r="S24" i="204"/>
  <c r="R24" i="204"/>
  <c r="G24" i="204"/>
  <c r="Q24" i="204" s="1"/>
  <c r="B24" i="204"/>
  <c r="P24" i="204" s="1"/>
  <c r="AJ23" i="204"/>
  <c r="T23" i="204"/>
  <c r="S23" i="204"/>
  <c r="R23" i="204"/>
  <c r="G23" i="204"/>
  <c r="Q23" i="204" s="1"/>
  <c r="B23" i="204"/>
  <c r="P23" i="204" s="1"/>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G17" i="204"/>
  <c r="Q17" i="204" s="1"/>
  <c r="B17" i="204"/>
  <c r="P17" i="204" s="1"/>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G24" i="203"/>
  <c r="Q24" i="203" s="1"/>
  <c r="B24" i="203"/>
  <c r="P24" i="203" s="1"/>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G18" i="203"/>
  <c r="R18" i="203" s="1"/>
  <c r="B18" i="203"/>
  <c r="P18" i="203" s="1"/>
  <c r="AJ17" i="203"/>
  <c r="T17" i="203"/>
  <c r="S17" i="203"/>
  <c r="R17" i="203"/>
  <c r="G17" i="203"/>
  <c r="Q17" i="203" s="1"/>
  <c r="B17" i="203"/>
  <c r="P17" i="203" s="1"/>
  <c r="AJ16" i="203"/>
  <c r="T16" i="203"/>
  <c r="S16" i="203"/>
  <c r="R16" i="203"/>
  <c r="G16" i="203"/>
  <c r="Q16" i="203" s="1"/>
  <c r="B16" i="203"/>
  <c r="P16" i="203" s="1"/>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G33" i="202"/>
  <c r="Q33" i="202" s="1"/>
  <c r="B33" i="202"/>
  <c r="P33" i="202" s="1"/>
  <c r="AJ32" i="202"/>
  <c r="T32" i="202"/>
  <c r="S32" i="202"/>
  <c r="R32" i="202"/>
  <c r="G32" i="202"/>
  <c r="Q32" i="202" s="1"/>
  <c r="B32" i="202"/>
  <c r="P32" i="202" s="1"/>
  <c r="AJ31" i="202"/>
  <c r="T31" i="202"/>
  <c r="S31" i="202"/>
  <c r="R31" i="202"/>
  <c r="G31" i="202"/>
  <c r="Q31" i="202" s="1"/>
  <c r="B31" i="202"/>
  <c r="P31" i="202" s="1"/>
  <c r="AJ30" i="202"/>
  <c r="T30" i="202"/>
  <c r="S30" i="202"/>
  <c r="R30" i="202"/>
  <c r="G30" i="202"/>
  <c r="Q30" i="202" s="1"/>
  <c r="B30" i="202"/>
  <c r="P30" i="202" s="1"/>
  <c r="AJ29" i="202"/>
  <c r="T29" i="202"/>
  <c r="S29" i="202"/>
  <c r="R29" i="202"/>
  <c r="G29" i="202"/>
  <c r="Q29" i="202" s="1"/>
  <c r="B29" i="202"/>
  <c r="P29" i="202" s="1"/>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G25" i="202"/>
  <c r="Q25" i="202" s="1"/>
  <c r="B25" i="202"/>
  <c r="P25" i="202" s="1"/>
  <c r="AJ24" i="202"/>
  <c r="T24" i="202"/>
  <c r="S24" i="202"/>
  <c r="R24" i="202"/>
  <c r="Q24" i="202"/>
  <c r="G24" i="202"/>
  <c r="B24" i="202"/>
  <c r="P24" i="202" s="1"/>
  <c r="AJ23" i="202"/>
  <c r="T23" i="202"/>
  <c r="S23" i="202"/>
  <c r="R23" i="202"/>
  <c r="G23" i="202"/>
  <c r="Q23" i="202" s="1"/>
  <c r="B23" i="202"/>
  <c r="P23" i="202" s="1"/>
  <c r="AJ22" i="202"/>
  <c r="T22" i="202"/>
  <c r="S22" i="202"/>
  <c r="R22" i="202"/>
  <c r="G22" i="202"/>
  <c r="Q22" i="202" s="1"/>
  <c r="B22" i="202"/>
  <c r="P22" i="202" s="1"/>
  <c r="AJ21" i="202"/>
  <c r="T21" i="202"/>
  <c r="S21" i="202"/>
  <c r="R21" i="202"/>
  <c r="G21" i="202"/>
  <c r="Q21" i="202" s="1"/>
  <c r="B21" i="202"/>
  <c r="P21" i="202" s="1"/>
  <c r="AJ20" i="202"/>
  <c r="T20" i="202"/>
  <c r="S20" i="202"/>
  <c r="R20" i="202"/>
  <c r="G20" i="202"/>
  <c r="Q20" i="202" s="1"/>
  <c r="B20" i="202"/>
  <c r="P20" i="202" s="1"/>
  <c r="AJ19" i="202"/>
  <c r="T19" i="202"/>
  <c r="S19" i="202"/>
  <c r="R19" i="202"/>
  <c r="G19" i="202"/>
  <c r="Q19" i="202" s="1"/>
  <c r="B19" i="202"/>
  <c r="P19" i="202" s="1"/>
  <c r="AJ18" i="202"/>
  <c r="T18" i="202"/>
  <c r="S18" i="202"/>
  <c r="G18" i="202"/>
  <c r="Q18" i="202" s="1"/>
  <c r="B18" i="202"/>
  <c r="P18" i="202" s="1"/>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G14" i="202"/>
  <c r="Q14" i="202" s="1"/>
  <c r="B14" i="202"/>
  <c r="P14" i="202" s="1"/>
  <c r="AJ13" i="202"/>
  <c r="T13" i="202"/>
  <c r="S13" i="202"/>
  <c r="R13" i="202"/>
  <c r="G13" i="202"/>
  <c r="Q13" i="202" s="1"/>
  <c r="B13" i="202"/>
  <c r="P13" i="202" s="1"/>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G13" i="201"/>
  <c r="Q13" i="201" s="1"/>
  <c r="B13" i="201"/>
  <c r="P13" i="201" s="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G31" i="200"/>
  <c r="Q31" i="200" s="1"/>
  <c r="B31" i="200"/>
  <c r="P31" i="200" s="1"/>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G15" i="200"/>
  <c r="Q15" i="200" s="1"/>
  <c r="B15" i="200"/>
  <c r="P15" i="200" s="1"/>
  <c r="AJ14" i="200"/>
  <c r="T14" i="200"/>
  <c r="S14" i="200"/>
  <c r="R14" i="200"/>
  <c r="G14" i="200"/>
  <c r="Q14" i="200" s="1"/>
  <c r="B14" i="200"/>
  <c r="P14" i="200" s="1"/>
  <c r="AJ13" i="200"/>
  <c r="T13" i="200"/>
  <c r="S13" i="200"/>
  <c r="R13" i="200"/>
  <c r="G13" i="200"/>
  <c r="Q13" i="200" s="1"/>
  <c r="B13" i="200"/>
  <c r="P13" i="200" s="1"/>
  <c r="AJ47" i="199"/>
  <c r="T47" i="199"/>
  <c r="S47" i="199"/>
  <c r="R47" i="199"/>
  <c r="G47" i="199"/>
  <c r="Q47" i="199" s="1"/>
  <c r="B47" i="199"/>
  <c r="P47" i="199" s="1"/>
  <c r="AJ46" i="199"/>
  <c r="T46" i="199"/>
  <c r="S46" i="199"/>
  <c r="R46" i="199"/>
  <c r="G46" i="199"/>
  <c r="Q46" i="199" s="1"/>
  <c r="B46" i="199"/>
  <c r="P46" i="199" s="1"/>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G42" i="199"/>
  <c r="Q42" i="199" s="1"/>
  <c r="B42" i="199"/>
  <c r="P42" i="199" s="1"/>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G39" i="199"/>
  <c r="Q39" i="199" s="1"/>
  <c r="B39" i="199"/>
  <c r="P39" i="199" s="1"/>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G31" i="199"/>
  <c r="Q31" i="199" s="1"/>
  <c r="B31" i="199"/>
  <c r="P31" i="199" s="1"/>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G24" i="199"/>
  <c r="Q24" i="199" s="1"/>
  <c r="B24" i="199"/>
  <c r="P24" i="199" s="1"/>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G19" i="199"/>
  <c r="Q19" i="199" s="1"/>
  <c r="B19" i="199"/>
  <c r="P19" i="199" s="1"/>
  <c r="AJ18" i="199"/>
  <c r="T18" i="199"/>
  <c r="S18" i="199"/>
  <c r="P18" i="199"/>
  <c r="G18" i="199"/>
  <c r="R18" i="199" s="1"/>
  <c r="B18" i="199"/>
  <c r="AJ17" i="199"/>
  <c r="T17" i="199"/>
  <c r="S17" i="199"/>
  <c r="R17" i="199"/>
  <c r="G17" i="199"/>
  <c r="Q17" i="199" s="1"/>
  <c r="B17" i="199"/>
  <c r="P17" i="199" s="1"/>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G70" i="198"/>
  <c r="Q70" i="198" s="1"/>
  <c r="B70" i="198"/>
  <c r="P70" i="198" s="1"/>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G62" i="198"/>
  <c r="Q62" i="198" s="1"/>
  <c r="B62" i="198"/>
  <c r="P62" i="198" s="1"/>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G54" i="198"/>
  <c r="Q54" i="198" s="1"/>
  <c r="B54" i="198"/>
  <c r="P54" i="198" s="1"/>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G45" i="198"/>
  <c r="Q45" i="198" s="1"/>
  <c r="B45" i="198"/>
  <c r="P45" i="198" s="1"/>
  <c r="AJ44" i="198"/>
  <c r="T44" i="198"/>
  <c r="S44" i="198"/>
  <c r="R44" i="198"/>
  <c r="G44" i="198"/>
  <c r="Q44" i="198" s="1"/>
  <c r="B44" i="198"/>
  <c r="P44" i="198" s="1"/>
  <c r="AJ43" i="198"/>
  <c r="T43" i="198"/>
  <c r="S43" i="198"/>
  <c r="R43" i="198"/>
  <c r="G43" i="198"/>
  <c r="Q43" i="198" s="1"/>
  <c r="B43" i="198"/>
  <c r="P43" i="198" s="1"/>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G30" i="198"/>
  <c r="Q30" i="198" s="1"/>
  <c r="B30" i="198"/>
  <c r="P30" i="198" s="1"/>
  <c r="AJ29" i="198"/>
  <c r="T29" i="198"/>
  <c r="S29" i="198"/>
  <c r="R29" i="198"/>
  <c r="G29" i="198"/>
  <c r="Q29" i="198" s="1"/>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G21" i="198"/>
  <c r="Q21" i="198" s="1"/>
  <c r="B21" i="198"/>
  <c r="P21" i="198" s="1"/>
  <c r="AJ20" i="198"/>
  <c r="T20" i="198"/>
  <c r="S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AJ31" i="195"/>
  <c r="T31" i="195"/>
  <c r="S31" i="195"/>
  <c r="R31" i="195"/>
  <c r="AJ155" i="194"/>
  <c r="T155" i="194"/>
  <c r="S155" i="194"/>
  <c r="R155" i="194"/>
  <c r="AJ154" i="194"/>
  <c r="T154" i="194"/>
  <c r="S154" i="194"/>
  <c r="R154" i="194"/>
  <c r="AJ153" i="194"/>
  <c r="T153" i="194"/>
  <c r="S153" i="194"/>
  <c r="R153" i="194"/>
  <c r="AJ152" i="194"/>
  <c r="T152" i="194"/>
  <c r="S152" i="194"/>
  <c r="R152" i="194"/>
  <c r="AJ151" i="194"/>
  <c r="T151" i="194"/>
  <c r="S151" i="194"/>
  <c r="R151" i="194"/>
  <c r="AJ150" i="194"/>
  <c r="T150" i="194"/>
  <c r="S150" i="194"/>
  <c r="R150" i="194"/>
  <c r="AJ149" i="194"/>
  <c r="T149" i="194"/>
  <c r="S149" i="194"/>
  <c r="R149" i="194"/>
  <c r="AJ148" i="194"/>
  <c r="T148" i="194"/>
  <c r="S148" i="194"/>
  <c r="R148" i="194"/>
  <c r="AJ147" i="194"/>
  <c r="T147" i="194"/>
  <c r="S147" i="194"/>
  <c r="R147" i="194"/>
  <c r="AJ146" i="194"/>
  <c r="T146" i="194"/>
  <c r="S146" i="194"/>
  <c r="R146" i="194"/>
  <c r="AJ145" i="194"/>
  <c r="T145" i="194"/>
  <c r="S145" i="194"/>
  <c r="R145" i="194"/>
  <c r="AJ144" i="194"/>
  <c r="T144" i="194"/>
  <c r="S144" i="194"/>
  <c r="R144" i="194"/>
  <c r="AJ143" i="194"/>
  <c r="T143" i="194"/>
  <c r="S143" i="194"/>
  <c r="R143" i="194"/>
  <c r="AJ142" i="194"/>
  <c r="T142" i="194"/>
  <c r="S142" i="194"/>
  <c r="R142" i="194"/>
  <c r="AJ141" i="194"/>
  <c r="T141" i="194"/>
  <c r="S141" i="194"/>
  <c r="R141" i="194"/>
  <c r="AJ140" i="194"/>
  <c r="T140" i="194"/>
  <c r="S140" i="194"/>
  <c r="R140" i="194"/>
  <c r="AJ139" i="194"/>
  <c r="T139" i="194"/>
  <c r="S139" i="194"/>
  <c r="R139" i="194"/>
  <c r="AJ138" i="194"/>
  <c r="T138" i="194"/>
  <c r="S138" i="194"/>
  <c r="R138" i="194"/>
  <c r="AJ137" i="194"/>
  <c r="T137" i="194"/>
  <c r="S137" i="194"/>
  <c r="R137" i="194"/>
  <c r="AJ136" i="194"/>
  <c r="T136" i="194"/>
  <c r="S136" i="194"/>
  <c r="R136" i="194"/>
  <c r="AJ135" i="194"/>
  <c r="T135" i="194"/>
  <c r="S135" i="194"/>
  <c r="R135" i="194"/>
  <c r="AJ134" i="194"/>
  <c r="T134" i="194"/>
  <c r="S134" i="194"/>
  <c r="R134" i="194"/>
  <c r="AJ133" i="194"/>
  <c r="T133" i="194"/>
  <c r="S133" i="194"/>
  <c r="R133" i="194"/>
  <c r="AJ132" i="194"/>
  <c r="T132" i="194"/>
  <c r="S132" i="194"/>
  <c r="R132" i="194"/>
  <c r="AJ131" i="194"/>
  <c r="T131" i="194"/>
  <c r="S131" i="194"/>
  <c r="R131" i="194"/>
  <c r="AJ130" i="194"/>
  <c r="T130" i="194"/>
  <c r="S130" i="194"/>
  <c r="R130" i="194"/>
  <c r="AJ129" i="194"/>
  <c r="T129" i="194"/>
  <c r="S129" i="194"/>
  <c r="R129" i="194"/>
  <c r="AJ128" i="194"/>
  <c r="T128" i="194"/>
  <c r="S128" i="194"/>
  <c r="R128" i="194"/>
  <c r="AJ127" i="194"/>
  <c r="T127" i="194"/>
  <c r="S127" i="194"/>
  <c r="R127" i="194"/>
  <c r="AJ126" i="194"/>
  <c r="T126" i="194"/>
  <c r="S126" i="194"/>
  <c r="R126" i="194"/>
  <c r="AJ125" i="194"/>
  <c r="T125" i="194"/>
  <c r="S125" i="194"/>
  <c r="R125" i="194"/>
  <c r="AJ124" i="194"/>
  <c r="T124" i="194"/>
  <c r="S124" i="194"/>
  <c r="R124" i="194"/>
  <c r="AJ123" i="194"/>
  <c r="T123" i="194"/>
  <c r="S123" i="194"/>
  <c r="R123" i="194"/>
  <c r="AJ122" i="194"/>
  <c r="T122" i="194"/>
  <c r="S122" i="194"/>
  <c r="R122" i="194"/>
  <c r="AJ121" i="194"/>
  <c r="T121" i="194"/>
  <c r="S121" i="194"/>
  <c r="R121" i="194"/>
  <c r="AJ120" i="194"/>
  <c r="T120" i="194"/>
  <c r="S120" i="194"/>
  <c r="R120" i="194"/>
  <c r="AJ119" i="194"/>
  <c r="T119" i="194"/>
  <c r="S119" i="194"/>
  <c r="R119" i="194"/>
  <c r="AJ118" i="194"/>
  <c r="T118" i="194"/>
  <c r="S118" i="194"/>
  <c r="R118" i="194"/>
  <c r="AJ117" i="194"/>
  <c r="T117" i="194"/>
  <c r="S117" i="194"/>
  <c r="R117" i="194"/>
  <c r="AJ116" i="194"/>
  <c r="T116" i="194"/>
  <c r="S116" i="194"/>
  <c r="R116" i="194"/>
  <c r="AJ115" i="194"/>
  <c r="T115" i="194"/>
  <c r="S115" i="194"/>
  <c r="R115" i="194"/>
  <c r="AJ114" i="194"/>
  <c r="T114" i="194"/>
  <c r="S114" i="194"/>
  <c r="R114" i="194"/>
  <c r="AJ113" i="194"/>
  <c r="T113" i="194"/>
  <c r="S113" i="194"/>
  <c r="R113" i="194"/>
  <c r="AJ112" i="194"/>
  <c r="T112" i="194"/>
  <c r="S112" i="194"/>
  <c r="R112" i="194"/>
  <c r="AJ111" i="194"/>
  <c r="T111" i="194"/>
  <c r="S111" i="194"/>
  <c r="R111" i="194"/>
  <c r="AJ110" i="194"/>
  <c r="T110" i="194"/>
  <c r="S110" i="194"/>
  <c r="R110" i="194"/>
  <c r="AJ109" i="194"/>
  <c r="T109" i="194"/>
  <c r="S109" i="194"/>
  <c r="R109" i="194"/>
  <c r="AJ108" i="194"/>
  <c r="T108" i="194"/>
  <c r="S108" i="194"/>
  <c r="R108" i="194"/>
  <c r="AJ107" i="194"/>
  <c r="T107" i="194"/>
  <c r="S107" i="194"/>
  <c r="R107" i="194"/>
  <c r="AJ106" i="194"/>
  <c r="T106" i="194"/>
  <c r="S106" i="194"/>
  <c r="R106" i="194"/>
  <c r="AJ105" i="194"/>
  <c r="T105" i="194"/>
  <c r="S105" i="194"/>
  <c r="R105" i="194"/>
  <c r="AJ104" i="194"/>
  <c r="T104" i="194"/>
  <c r="S104" i="194"/>
  <c r="R104" i="194"/>
  <c r="AJ103" i="194"/>
  <c r="T103" i="194"/>
  <c r="S103" i="194"/>
  <c r="R103" i="194"/>
  <c r="AJ102" i="194"/>
  <c r="T102" i="194"/>
  <c r="S102" i="194"/>
  <c r="R102" i="194"/>
  <c r="AJ101" i="194"/>
  <c r="T101" i="194"/>
  <c r="S101" i="194"/>
  <c r="R101" i="194"/>
  <c r="AJ100" i="194"/>
  <c r="T100" i="194"/>
  <c r="S100" i="194"/>
  <c r="R100" i="194"/>
  <c r="AJ99" i="194"/>
  <c r="T99" i="194"/>
  <c r="S99" i="194"/>
  <c r="R99" i="194"/>
  <c r="AJ98" i="194"/>
  <c r="T98" i="194"/>
  <c r="S98" i="194"/>
  <c r="R98" i="194"/>
  <c r="AJ97" i="194"/>
  <c r="T97" i="194"/>
  <c r="S97" i="194"/>
  <c r="R97" i="194"/>
  <c r="AJ96" i="194"/>
  <c r="T96" i="194"/>
  <c r="S96" i="194"/>
  <c r="R96" i="194"/>
  <c r="AJ95" i="194"/>
  <c r="T95" i="194"/>
  <c r="S95" i="194"/>
  <c r="R95" i="194"/>
  <c r="AJ94" i="194"/>
  <c r="T94" i="194"/>
  <c r="S94" i="194"/>
  <c r="R94" i="194"/>
  <c r="AJ93" i="194"/>
  <c r="T93" i="194"/>
  <c r="S93" i="194"/>
  <c r="R93" i="194"/>
  <c r="AJ92" i="194"/>
  <c r="T92" i="194"/>
  <c r="S92" i="194"/>
  <c r="R92" i="194"/>
  <c r="AJ91" i="194"/>
  <c r="T91" i="194"/>
  <c r="S91" i="194"/>
  <c r="R91" i="194"/>
  <c r="AJ90" i="194"/>
  <c r="T90" i="194"/>
  <c r="S90" i="194"/>
  <c r="R90" i="194"/>
  <c r="AJ89" i="194"/>
  <c r="T89" i="194"/>
  <c r="S89" i="194"/>
  <c r="R89" i="194"/>
  <c r="AJ88" i="194"/>
  <c r="T88" i="194"/>
  <c r="S88" i="194"/>
  <c r="R88" i="194"/>
  <c r="AJ87" i="194"/>
  <c r="T87" i="194"/>
  <c r="S87" i="194"/>
  <c r="R87" i="194"/>
  <c r="AJ86" i="194"/>
  <c r="T86" i="194"/>
  <c r="S86" i="194"/>
  <c r="R86" i="194"/>
  <c r="AJ85" i="194"/>
  <c r="T85" i="194"/>
  <c r="S85" i="194"/>
  <c r="R85" i="194"/>
  <c r="AJ84" i="194"/>
  <c r="T84" i="194"/>
  <c r="S84" i="194"/>
  <c r="R84" i="194"/>
  <c r="AJ83" i="194"/>
  <c r="T83" i="194"/>
  <c r="S83" i="194"/>
  <c r="R83" i="194"/>
  <c r="AJ82" i="194"/>
  <c r="T82" i="194"/>
  <c r="S82" i="194"/>
  <c r="R82" i="194"/>
  <c r="AJ81" i="194"/>
  <c r="T81" i="194"/>
  <c r="S81" i="194"/>
  <c r="R81" i="194"/>
  <c r="AJ80" i="194"/>
  <c r="T80" i="194"/>
  <c r="S80" i="194"/>
  <c r="R80" i="194"/>
  <c r="AJ79" i="194"/>
  <c r="T79" i="194"/>
  <c r="S79" i="194"/>
  <c r="R79" i="194"/>
  <c r="AJ78" i="194"/>
  <c r="T78" i="194"/>
  <c r="S78" i="194"/>
  <c r="R78" i="194"/>
  <c r="AJ77" i="194"/>
  <c r="T77" i="194"/>
  <c r="S77" i="194"/>
  <c r="R77" i="194"/>
  <c r="AJ76" i="194"/>
  <c r="T76" i="194"/>
  <c r="S76" i="194"/>
  <c r="R76" i="194"/>
  <c r="AJ75" i="194"/>
  <c r="T75" i="194"/>
  <c r="S75" i="194"/>
  <c r="R75" i="194"/>
  <c r="AJ74" i="194"/>
  <c r="T74" i="194"/>
  <c r="S74" i="194"/>
  <c r="R74" i="194"/>
  <c r="AJ73" i="194"/>
  <c r="T73" i="194"/>
  <c r="S73" i="194"/>
  <c r="R73" i="194"/>
  <c r="AJ72" i="194"/>
  <c r="T72" i="194"/>
  <c r="S72" i="194"/>
  <c r="R72" i="194"/>
  <c r="AJ71" i="194"/>
  <c r="T71" i="194"/>
  <c r="S71" i="194"/>
  <c r="R71" i="194"/>
  <c r="AJ70" i="194"/>
  <c r="T70" i="194"/>
  <c r="S70" i="194"/>
  <c r="R70" i="194"/>
  <c r="AJ69" i="194"/>
  <c r="T69" i="194"/>
  <c r="S69" i="194"/>
  <c r="R69" i="194"/>
  <c r="AJ68" i="194"/>
  <c r="T68" i="194"/>
  <c r="S68" i="194"/>
  <c r="R68" i="194"/>
  <c r="AJ67" i="194"/>
  <c r="T67" i="194"/>
  <c r="S67" i="194"/>
  <c r="R67" i="194"/>
  <c r="AJ66" i="194"/>
  <c r="T66" i="194"/>
  <c r="S66" i="194"/>
  <c r="R66" i="194"/>
  <c r="AJ65" i="194"/>
  <c r="T65" i="194"/>
  <c r="S65" i="194"/>
  <c r="R65" i="194"/>
  <c r="AJ64" i="194"/>
  <c r="T64" i="194"/>
  <c r="S64" i="194"/>
  <c r="R64" i="194"/>
  <c r="AJ63" i="194"/>
  <c r="T63" i="194"/>
  <c r="S63" i="194"/>
  <c r="R63" i="194"/>
  <c r="AJ62" i="194"/>
  <c r="T62" i="194"/>
  <c r="S62" i="194"/>
  <c r="R62" i="194"/>
  <c r="AJ61" i="194"/>
  <c r="T61" i="194"/>
  <c r="S61" i="194"/>
  <c r="R61" i="194"/>
  <c r="AJ60" i="194"/>
  <c r="T60" i="194"/>
  <c r="S60" i="194"/>
  <c r="R60" i="194"/>
  <c r="AJ59" i="194"/>
  <c r="T59" i="194"/>
  <c r="S59" i="194"/>
  <c r="R59" i="194"/>
  <c r="AJ58" i="194"/>
  <c r="T58" i="194"/>
  <c r="S58" i="194"/>
  <c r="R58" i="194"/>
  <c r="AJ57" i="194"/>
  <c r="T57" i="194"/>
  <c r="S57" i="194"/>
  <c r="R57" i="194"/>
  <c r="AJ56" i="194"/>
  <c r="T56" i="194"/>
  <c r="S56" i="194"/>
  <c r="R56" i="194"/>
  <c r="AJ55" i="194"/>
  <c r="T55" i="194"/>
  <c r="S55" i="194"/>
  <c r="R55" i="194"/>
  <c r="AJ54" i="194"/>
  <c r="T54" i="194"/>
  <c r="S54" i="194"/>
  <c r="R54" i="194"/>
  <c r="AJ53" i="194"/>
  <c r="T53" i="194"/>
  <c r="S53" i="194"/>
  <c r="R53" i="194"/>
  <c r="AJ52" i="194"/>
  <c r="T52" i="194"/>
  <c r="S52" i="194"/>
  <c r="R52" i="194"/>
  <c r="AJ51" i="194"/>
  <c r="T51" i="194"/>
  <c r="S51" i="194"/>
  <c r="R51" i="194"/>
  <c r="AJ50" i="194"/>
  <c r="T50" i="194"/>
  <c r="S50" i="194"/>
  <c r="R50" i="194"/>
  <c r="AJ49" i="194"/>
  <c r="T49" i="194"/>
  <c r="S49" i="194"/>
  <c r="R49" i="194"/>
  <c r="AJ48" i="194"/>
  <c r="T48" i="194"/>
  <c r="S48" i="194"/>
  <c r="R48" i="194"/>
  <c r="AJ47" i="194"/>
  <c r="T47" i="194"/>
  <c r="S47" i="194"/>
  <c r="R47" i="194"/>
  <c r="AJ46" i="194"/>
  <c r="T46" i="194"/>
  <c r="S46" i="194"/>
  <c r="R46" i="194"/>
  <c r="AJ45" i="194"/>
  <c r="T45" i="194"/>
  <c r="S45" i="194"/>
  <c r="R45" i="194"/>
  <c r="AJ44" i="194"/>
  <c r="T44" i="194"/>
  <c r="S44" i="194"/>
  <c r="R44" i="194"/>
  <c r="AJ43" i="194"/>
  <c r="T43" i="194"/>
  <c r="S43" i="194"/>
  <c r="R43" i="194"/>
  <c r="AJ42" i="194"/>
  <c r="T42" i="194"/>
  <c r="S42" i="194"/>
  <c r="R42" i="194"/>
  <c r="AJ41" i="194"/>
  <c r="T41" i="194"/>
  <c r="S41" i="194"/>
  <c r="R41" i="194"/>
  <c r="AJ40" i="194"/>
  <c r="T40" i="194"/>
  <c r="S40" i="194"/>
  <c r="R40" i="194"/>
  <c r="AJ39" i="194"/>
  <c r="T39" i="194"/>
  <c r="S39" i="194"/>
  <c r="R39" i="194"/>
  <c r="AJ38" i="194"/>
  <c r="T38" i="194"/>
  <c r="S38" i="194"/>
  <c r="R38" i="194"/>
  <c r="AJ37" i="194"/>
  <c r="T37" i="194"/>
  <c r="S37" i="194"/>
  <c r="R37" i="194"/>
  <c r="AJ36" i="194"/>
  <c r="T36" i="194"/>
  <c r="S36" i="194"/>
  <c r="R36" i="194"/>
  <c r="AJ35" i="194"/>
  <c r="T35" i="194"/>
  <c r="S35" i="194"/>
  <c r="R35" i="194"/>
  <c r="AJ34" i="194"/>
  <c r="T34" i="194"/>
  <c r="S34" i="194"/>
  <c r="R34" i="194"/>
  <c r="AJ33" i="194"/>
  <c r="T33" i="194"/>
  <c r="S33" i="194"/>
  <c r="R33" i="194"/>
  <c r="AJ32" i="194"/>
  <c r="T32" i="194"/>
  <c r="S32" i="194"/>
  <c r="R32" i="194"/>
  <c r="AJ31" i="194"/>
  <c r="T31" i="194"/>
  <c r="S31" i="194"/>
  <c r="R31" i="194"/>
  <c r="AJ47" i="193"/>
  <c r="T47" i="193"/>
  <c r="S47" i="193"/>
  <c r="R47" i="193"/>
  <c r="AJ46" i="193"/>
  <c r="T46" i="193"/>
  <c r="S46" i="193"/>
  <c r="R46" i="193"/>
  <c r="AJ45" i="193"/>
  <c r="T45" i="193"/>
  <c r="S45" i="193"/>
  <c r="R45" i="193"/>
  <c r="AJ44" i="193"/>
  <c r="T44" i="193"/>
  <c r="S44" i="193"/>
  <c r="R44" i="193"/>
  <c r="AJ43" i="193"/>
  <c r="T43" i="193"/>
  <c r="S43" i="193"/>
  <c r="R43" i="193"/>
  <c r="AJ42" i="193"/>
  <c r="T42" i="193"/>
  <c r="S42" i="193"/>
  <c r="R42" i="193"/>
  <c r="AJ41" i="193"/>
  <c r="T41" i="193"/>
  <c r="S41" i="193"/>
  <c r="R41" i="193"/>
  <c r="AJ40" i="193"/>
  <c r="T40" i="193"/>
  <c r="S40" i="193"/>
  <c r="R40" i="193"/>
  <c r="AJ39" i="193"/>
  <c r="T39" i="193"/>
  <c r="S39" i="193"/>
  <c r="R39" i="193"/>
  <c r="AJ38" i="193"/>
  <c r="T38" i="193"/>
  <c r="S38" i="193"/>
  <c r="R38" i="193"/>
  <c r="AJ37" i="193"/>
  <c r="T37" i="193"/>
  <c r="S37" i="193"/>
  <c r="R37" i="193"/>
  <c r="AJ36" i="193"/>
  <c r="T36" i="193"/>
  <c r="S36" i="193"/>
  <c r="R36" i="193"/>
  <c r="AJ35" i="193"/>
  <c r="T35" i="193"/>
  <c r="S35" i="193"/>
  <c r="R35" i="193"/>
  <c r="AJ34" i="193"/>
  <c r="T34" i="193"/>
  <c r="S34" i="193"/>
  <c r="R34" i="193"/>
  <c r="AJ33" i="193"/>
  <c r="T33" i="193"/>
  <c r="S33" i="193"/>
  <c r="R33" i="193"/>
  <c r="AJ32" i="193"/>
  <c r="T32" i="193"/>
  <c r="S32" i="193"/>
  <c r="R32" i="193"/>
  <c r="AJ31" i="193"/>
  <c r="T31" i="193"/>
  <c r="S31" i="193"/>
  <c r="R31" i="193"/>
  <c r="AJ47" i="192"/>
  <c r="T47" i="192"/>
  <c r="S47" i="192"/>
  <c r="R47" i="192"/>
  <c r="AJ46" i="192"/>
  <c r="T46" i="192"/>
  <c r="S46" i="192"/>
  <c r="R46" i="192"/>
  <c r="AJ45" i="192"/>
  <c r="T45" i="192"/>
  <c r="S45" i="192"/>
  <c r="R45" i="192"/>
  <c r="AJ44" i="192"/>
  <c r="T44" i="192"/>
  <c r="S44" i="192"/>
  <c r="R44" i="192"/>
  <c r="AJ43" i="192"/>
  <c r="T43" i="192"/>
  <c r="S43" i="192"/>
  <c r="R43" i="192"/>
  <c r="AJ42" i="192"/>
  <c r="T42" i="192"/>
  <c r="S42" i="192"/>
  <c r="R42" i="192"/>
  <c r="AJ41" i="192"/>
  <c r="T41" i="192"/>
  <c r="S41" i="192"/>
  <c r="R41" i="192"/>
  <c r="AJ40" i="192"/>
  <c r="T40" i="192"/>
  <c r="S40" i="192"/>
  <c r="R40" i="192"/>
  <c r="AJ39" i="192"/>
  <c r="T39" i="192"/>
  <c r="S39" i="192"/>
  <c r="R39" i="192"/>
  <c r="AJ38" i="192"/>
  <c r="T38" i="192"/>
  <c r="S38" i="192"/>
  <c r="R38" i="192"/>
  <c r="AJ37" i="192"/>
  <c r="T37" i="192"/>
  <c r="S37" i="192"/>
  <c r="R37" i="192"/>
  <c r="AJ36" i="192"/>
  <c r="T36" i="192"/>
  <c r="S36" i="192"/>
  <c r="R36" i="192"/>
  <c r="AJ35" i="192"/>
  <c r="T35" i="192"/>
  <c r="S35" i="192"/>
  <c r="R35" i="192"/>
  <c r="AJ34" i="192"/>
  <c r="T34" i="192"/>
  <c r="S34" i="192"/>
  <c r="R34" i="192"/>
  <c r="AJ33" i="192"/>
  <c r="T33" i="192"/>
  <c r="S33" i="192"/>
  <c r="R33" i="192"/>
  <c r="AJ32" i="192"/>
  <c r="T32" i="192"/>
  <c r="S32" i="192"/>
  <c r="R32" i="192"/>
  <c r="AJ31" i="192"/>
  <c r="T31" i="192"/>
  <c r="S31" i="192"/>
  <c r="R31" i="192"/>
  <c r="AJ16" i="189"/>
  <c r="T16" i="189"/>
  <c r="S16" i="189"/>
  <c r="R16" i="189"/>
  <c r="AJ15" i="189"/>
  <c r="T15" i="189"/>
  <c r="S15" i="189"/>
  <c r="R15" i="189"/>
  <c r="AJ15" i="190"/>
  <c r="T15" i="190"/>
  <c r="S15" i="190"/>
  <c r="R15" i="190"/>
  <c r="AJ14" i="190"/>
  <c r="T14" i="190"/>
  <c r="S14" i="190"/>
  <c r="R14" i="190"/>
  <c r="AJ13" i="190"/>
  <c r="T13" i="190"/>
  <c r="S13" i="190"/>
  <c r="R13" i="190"/>
  <c r="AJ24" i="191"/>
  <c r="T24" i="191"/>
  <c r="S24" i="191"/>
  <c r="R24" i="191"/>
  <c r="AJ23" i="191"/>
  <c r="T23" i="191"/>
  <c r="S23" i="191"/>
  <c r="R23" i="191"/>
  <c r="AJ22" i="191"/>
  <c r="T22" i="191"/>
  <c r="S22" i="191"/>
  <c r="R22" i="191"/>
  <c r="AJ21" i="191"/>
  <c r="T21" i="191"/>
  <c r="S21" i="191"/>
  <c r="R21" i="191"/>
  <c r="AJ20" i="191"/>
  <c r="T20" i="191"/>
  <c r="S20" i="191"/>
  <c r="R20" i="191"/>
  <c r="AJ19" i="191"/>
  <c r="T19" i="191"/>
  <c r="S19" i="191"/>
  <c r="R19" i="191"/>
  <c r="AJ18" i="191"/>
  <c r="T18" i="191"/>
  <c r="S18" i="191"/>
  <c r="R18" i="191"/>
  <c r="AJ17" i="191"/>
  <c r="T17" i="191"/>
  <c r="S17" i="191"/>
  <c r="R17" i="191"/>
  <c r="AJ16" i="191"/>
  <c r="T16" i="191"/>
  <c r="S16" i="191"/>
  <c r="R16" i="191"/>
  <c r="AJ15" i="191"/>
  <c r="T15" i="191"/>
  <c r="S15" i="191"/>
  <c r="R15" i="191"/>
  <c r="AJ14" i="191"/>
  <c r="T14" i="191"/>
  <c r="S14" i="191"/>
  <c r="R14" i="191"/>
  <c r="AJ13" i="191"/>
  <c r="T13" i="191"/>
  <c r="S13" i="191"/>
  <c r="R13" i="191"/>
  <c r="AJ14" i="188"/>
  <c r="T14" i="188"/>
  <c r="S14" i="188"/>
  <c r="R14" i="188"/>
  <c r="AJ13" i="188"/>
  <c r="T13" i="188"/>
  <c r="S13" i="188"/>
  <c r="R13" i="188"/>
  <c r="AJ30" i="193"/>
  <c r="T30" i="193"/>
  <c r="S30" i="193"/>
  <c r="R30" i="193"/>
  <c r="AJ29" i="193"/>
  <c r="T29" i="193"/>
  <c r="S29" i="193"/>
  <c r="R29" i="193"/>
  <c r="AJ28" i="193"/>
  <c r="T28" i="193"/>
  <c r="S28" i="193"/>
  <c r="R28" i="193"/>
  <c r="AJ27" i="193"/>
  <c r="T27" i="193"/>
  <c r="S27" i="193"/>
  <c r="R27" i="193"/>
  <c r="AJ26" i="193"/>
  <c r="T26" i="193"/>
  <c r="S26" i="193"/>
  <c r="R26" i="193"/>
  <c r="AJ25" i="193"/>
  <c r="T25" i="193"/>
  <c r="S25" i="193"/>
  <c r="R25" i="193"/>
  <c r="AJ24" i="193"/>
  <c r="T24" i="193"/>
  <c r="S24" i="193"/>
  <c r="R24" i="193"/>
  <c r="AJ23" i="193"/>
  <c r="T23" i="193"/>
  <c r="S23" i="193"/>
  <c r="R23" i="193"/>
  <c r="AJ22" i="193"/>
  <c r="T22" i="193"/>
  <c r="S22" i="193"/>
  <c r="R22" i="193"/>
  <c r="AJ21" i="193"/>
  <c r="T21" i="193"/>
  <c r="S21" i="193"/>
  <c r="R21" i="193"/>
  <c r="AJ20" i="193"/>
  <c r="T20" i="193"/>
  <c r="S20" i="193"/>
  <c r="R20" i="193"/>
  <c r="AJ19" i="193"/>
  <c r="T19" i="193"/>
  <c r="S19" i="193"/>
  <c r="R19" i="193"/>
  <c r="AJ18" i="193"/>
  <c r="T18" i="193"/>
  <c r="S18" i="193"/>
  <c r="R18" i="193"/>
  <c r="AJ17" i="193"/>
  <c r="T17" i="193"/>
  <c r="S17" i="193"/>
  <c r="AJ16" i="193"/>
  <c r="T16" i="193"/>
  <c r="S16" i="193"/>
  <c r="R16" i="193"/>
  <c r="AJ15" i="193"/>
  <c r="T15" i="193"/>
  <c r="S15" i="193"/>
  <c r="R15" i="193"/>
  <c r="AJ14" i="193"/>
  <c r="T14" i="193"/>
  <c r="S14" i="193"/>
  <c r="R14" i="193"/>
  <c r="AJ13" i="193"/>
  <c r="T13" i="193"/>
  <c r="S13" i="193"/>
  <c r="R13" i="193"/>
  <c r="AJ30" i="194"/>
  <c r="T30" i="194"/>
  <c r="S30" i="194"/>
  <c r="R30" i="194"/>
  <c r="AJ29" i="194"/>
  <c r="T29" i="194"/>
  <c r="S29" i="194"/>
  <c r="R29" i="194"/>
  <c r="AJ28" i="194"/>
  <c r="T28" i="194"/>
  <c r="S28" i="194"/>
  <c r="R28" i="194"/>
  <c r="AJ27" i="194"/>
  <c r="T27" i="194"/>
  <c r="S27" i="194"/>
  <c r="R27" i="194"/>
  <c r="AJ26" i="194"/>
  <c r="T26" i="194"/>
  <c r="S26" i="194"/>
  <c r="R26" i="194"/>
  <c r="AJ25" i="194"/>
  <c r="T25" i="194"/>
  <c r="S25" i="194"/>
  <c r="R25" i="194"/>
  <c r="AJ24" i="194"/>
  <c r="T24" i="194"/>
  <c r="S24" i="194"/>
  <c r="R24" i="194"/>
  <c r="AJ23" i="194"/>
  <c r="T23" i="194"/>
  <c r="S23" i="194"/>
  <c r="AJ22" i="194"/>
  <c r="T22" i="194"/>
  <c r="S22" i="194"/>
  <c r="AJ21" i="194"/>
  <c r="T21" i="194"/>
  <c r="S21" i="194"/>
  <c r="R21" i="194"/>
  <c r="AJ20" i="194"/>
  <c r="T20" i="194"/>
  <c r="S20" i="194"/>
  <c r="R20" i="194"/>
  <c r="AJ19" i="194"/>
  <c r="T19" i="194"/>
  <c r="S19" i="194"/>
  <c r="R19" i="194"/>
  <c r="AJ18" i="194"/>
  <c r="T18" i="194"/>
  <c r="S18" i="194"/>
  <c r="R18" i="194"/>
  <c r="AJ17" i="194"/>
  <c r="T17" i="194"/>
  <c r="S17" i="194"/>
  <c r="AJ16" i="194"/>
  <c r="T16" i="194"/>
  <c r="S16" i="194"/>
  <c r="R16" i="194"/>
  <c r="AJ15" i="194"/>
  <c r="T15" i="194"/>
  <c r="S15" i="194"/>
  <c r="R15" i="194"/>
  <c r="AJ14" i="194"/>
  <c r="T14" i="194"/>
  <c r="S14" i="194"/>
  <c r="R14" i="194"/>
  <c r="AJ13" i="194"/>
  <c r="T13" i="194"/>
  <c r="S13" i="194"/>
  <c r="R13" i="194"/>
  <c r="AJ30" i="195"/>
  <c r="T30" i="195"/>
  <c r="S30" i="195"/>
  <c r="R30" i="195"/>
  <c r="AJ29" i="195"/>
  <c r="T29" i="195"/>
  <c r="S29" i="195"/>
  <c r="R29" i="195"/>
  <c r="AJ28" i="195"/>
  <c r="T28" i="195"/>
  <c r="S28" i="195"/>
  <c r="R28" i="195"/>
  <c r="AJ27" i="195"/>
  <c r="T27" i="195"/>
  <c r="S27" i="195"/>
  <c r="R27" i="195"/>
  <c r="AJ26" i="195"/>
  <c r="T26" i="195"/>
  <c r="S26" i="195"/>
  <c r="R26" i="195"/>
  <c r="AJ25" i="195"/>
  <c r="T25" i="195"/>
  <c r="S25" i="195"/>
  <c r="R25" i="195"/>
  <c r="AJ24" i="195"/>
  <c r="T24" i="195"/>
  <c r="S24" i="195"/>
  <c r="R24" i="195"/>
  <c r="AJ23" i="195"/>
  <c r="T23" i="195"/>
  <c r="S23" i="195"/>
  <c r="AJ22" i="195"/>
  <c r="T22" i="195"/>
  <c r="S22" i="195"/>
  <c r="AJ21" i="195"/>
  <c r="T21" i="195"/>
  <c r="S21" i="195"/>
  <c r="R21" i="195"/>
  <c r="AJ20" i="195"/>
  <c r="T20" i="195"/>
  <c r="S20" i="195"/>
  <c r="R20" i="195"/>
  <c r="AJ19" i="195"/>
  <c r="T19" i="195"/>
  <c r="S19" i="195"/>
  <c r="R19" i="195"/>
  <c r="AJ18" i="195"/>
  <c r="T18" i="195"/>
  <c r="S18" i="195"/>
  <c r="R18" i="195"/>
  <c r="AJ17" i="195"/>
  <c r="T17" i="195"/>
  <c r="S17" i="195"/>
  <c r="AJ16" i="195"/>
  <c r="T16" i="195"/>
  <c r="S16" i="195"/>
  <c r="R16" i="195"/>
  <c r="AJ15" i="195"/>
  <c r="T15" i="195"/>
  <c r="S15" i="195"/>
  <c r="R15" i="195"/>
  <c r="AJ14" i="195"/>
  <c r="T14" i="195"/>
  <c r="S14" i="195"/>
  <c r="R14" i="195"/>
  <c r="AJ13" i="195"/>
  <c r="T13" i="195"/>
  <c r="S13" i="195"/>
  <c r="R13" i="195"/>
  <c r="AJ30" i="196"/>
  <c r="T30" i="196"/>
  <c r="S30" i="196"/>
  <c r="R30" i="196"/>
  <c r="AJ29" i="196"/>
  <c r="T29" i="196"/>
  <c r="S29" i="196"/>
  <c r="R29" i="196"/>
  <c r="AJ28" i="196"/>
  <c r="T28" i="196"/>
  <c r="S28" i="196"/>
  <c r="R28" i="196"/>
  <c r="AJ27" i="196"/>
  <c r="T27" i="196"/>
  <c r="S27" i="196"/>
  <c r="R27" i="196"/>
  <c r="AJ26" i="196"/>
  <c r="T26" i="196"/>
  <c r="S26" i="196"/>
  <c r="R26" i="196"/>
  <c r="AJ25" i="196"/>
  <c r="T25" i="196"/>
  <c r="S25" i="196"/>
  <c r="R25" i="196"/>
  <c r="AJ24" i="196"/>
  <c r="T24" i="196"/>
  <c r="S24" i="196"/>
  <c r="R24" i="196"/>
  <c r="AJ23" i="196"/>
  <c r="T23" i="196"/>
  <c r="S23" i="196"/>
  <c r="AJ22" i="196"/>
  <c r="T22" i="196"/>
  <c r="S22" i="196"/>
  <c r="AJ21" i="196"/>
  <c r="T21" i="196"/>
  <c r="S21" i="196"/>
  <c r="R21" i="196"/>
  <c r="AJ20" i="196"/>
  <c r="T20" i="196"/>
  <c r="S20" i="196"/>
  <c r="R20" i="196"/>
  <c r="AJ19" i="196"/>
  <c r="T19" i="196"/>
  <c r="S19" i="196"/>
  <c r="R19" i="196"/>
  <c r="AJ18" i="196"/>
  <c r="T18" i="196"/>
  <c r="S18" i="196"/>
  <c r="R18" i="196"/>
  <c r="AJ17" i="196"/>
  <c r="T17" i="196"/>
  <c r="S17" i="196"/>
  <c r="AJ16" i="196"/>
  <c r="T16" i="196"/>
  <c r="S16" i="196"/>
  <c r="R16" i="196"/>
  <c r="AJ15" i="196"/>
  <c r="T15" i="196"/>
  <c r="S15" i="196"/>
  <c r="R15" i="196"/>
  <c r="AJ14" i="196"/>
  <c r="T14" i="196"/>
  <c r="S14" i="196"/>
  <c r="R14" i="196"/>
  <c r="AJ13" i="196"/>
  <c r="T13" i="196"/>
  <c r="S13" i="196"/>
  <c r="R13" i="196"/>
  <c r="AJ30" i="192"/>
  <c r="T30" i="192"/>
  <c r="S30" i="192"/>
  <c r="R30" i="192"/>
  <c r="AJ29" i="192"/>
  <c r="T29" i="192"/>
  <c r="S29" i="192"/>
  <c r="R29" i="192"/>
  <c r="AJ28" i="192"/>
  <c r="T28" i="192"/>
  <c r="S28" i="192"/>
  <c r="R28" i="192"/>
  <c r="AJ27" i="192"/>
  <c r="T27" i="192"/>
  <c r="S27" i="192"/>
  <c r="R27" i="192"/>
  <c r="AJ26" i="192"/>
  <c r="T26" i="192"/>
  <c r="S26" i="192"/>
  <c r="R26" i="192"/>
  <c r="AJ25" i="192"/>
  <c r="T25" i="192"/>
  <c r="S25" i="192"/>
  <c r="R25" i="192"/>
  <c r="AJ24" i="192"/>
  <c r="T24" i="192"/>
  <c r="S24" i="192"/>
  <c r="R24" i="192"/>
  <c r="AJ23" i="192"/>
  <c r="T23" i="192"/>
  <c r="S23" i="192"/>
  <c r="R23" i="192"/>
  <c r="AJ22" i="192"/>
  <c r="T22" i="192"/>
  <c r="S22" i="192"/>
  <c r="R22" i="192"/>
  <c r="AJ21" i="192"/>
  <c r="T21" i="192"/>
  <c r="S21" i="192"/>
  <c r="R21" i="192"/>
  <c r="AJ20" i="192"/>
  <c r="T20" i="192"/>
  <c r="S20" i="192"/>
  <c r="R20" i="192"/>
  <c r="AJ19" i="192"/>
  <c r="T19" i="192"/>
  <c r="S19" i="192"/>
  <c r="R19" i="192"/>
  <c r="AJ18" i="192"/>
  <c r="T18" i="192"/>
  <c r="S18" i="192"/>
  <c r="R18" i="192"/>
  <c r="AJ17" i="192"/>
  <c r="T17" i="192"/>
  <c r="S17" i="192"/>
  <c r="AJ16" i="192"/>
  <c r="T16" i="192"/>
  <c r="S16" i="192"/>
  <c r="R16" i="192"/>
  <c r="AJ15" i="192"/>
  <c r="T15" i="192"/>
  <c r="S15" i="192"/>
  <c r="R15" i="192"/>
  <c r="AJ14" i="192"/>
  <c r="T14" i="192"/>
  <c r="S14" i="192"/>
  <c r="R14" i="192"/>
  <c r="AJ13" i="192"/>
  <c r="T13" i="192"/>
  <c r="S13" i="192"/>
  <c r="R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G22" i="197"/>
  <c r="R22" i="197" s="1"/>
  <c r="B22" i="197"/>
  <c r="P22" i="197" s="1"/>
  <c r="AJ21" i="197"/>
  <c r="T21" i="197"/>
  <c r="S21" i="197"/>
  <c r="R21" i="197"/>
  <c r="G21" i="197"/>
  <c r="Q21" i="197" s="1"/>
  <c r="B21" i="197"/>
  <c r="P21" i="197" s="1"/>
  <c r="AJ20" i="197"/>
  <c r="T20" i="197"/>
  <c r="S20" i="197"/>
  <c r="G20" i="197"/>
  <c r="Q20" i="197" s="1"/>
  <c r="B20" i="197"/>
  <c r="P20" i="197" s="1"/>
  <c r="AJ19" i="197"/>
  <c r="T19" i="197"/>
  <c r="S19" i="197"/>
  <c r="R19" i="197"/>
  <c r="G19" i="197"/>
  <c r="Q19" i="197" s="1"/>
  <c r="B19" i="197"/>
  <c r="P19" i="197" s="1"/>
  <c r="AJ18" i="197"/>
  <c r="T18" i="197"/>
  <c r="S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15" i="25"/>
  <c r="A115" i="25"/>
  <c r="BK114" i="25"/>
  <c r="A114" i="25"/>
  <c r="BK113" i="25"/>
  <c r="A113" i="25"/>
  <c r="B112" i="25"/>
  <c r="BK112" i="25" s="1"/>
  <c r="A112" i="25"/>
  <c r="B111" i="25"/>
  <c r="BK111" i="25" s="1"/>
  <c r="A111" i="25"/>
  <c r="B110" i="25"/>
  <c r="BK110" i="25" s="1"/>
  <c r="A110" i="25"/>
  <c r="B109" i="25"/>
  <c r="BK109" i="25" s="1"/>
  <c r="A109" i="25"/>
  <c r="B108" i="25"/>
  <c r="BK108" i="25" s="1"/>
  <c r="A108" i="25"/>
  <c r="B107" i="25"/>
  <c r="BK107" i="25" s="1"/>
  <c r="A107" i="25"/>
  <c r="AM146" i="25"/>
  <c r="AM133" i="25"/>
  <c r="AM109" i="25"/>
  <c r="AM111" i="25"/>
  <c r="AM112" i="25"/>
  <c r="AM123" i="25"/>
  <c r="AM129" i="25"/>
  <c r="AM138" i="25"/>
  <c r="AM139" i="25"/>
  <c r="AM140" i="25"/>
  <c r="AM127" i="25"/>
  <c r="AM136" i="25"/>
  <c r="AM108" i="25"/>
  <c r="AM124" i="25"/>
  <c r="AM121" i="25"/>
  <c r="AM114" i="25"/>
  <c r="AM134" i="25"/>
  <c r="AM122" i="25"/>
  <c r="AM135" i="25"/>
  <c r="AM126" i="25"/>
  <c r="AM110" i="25"/>
  <c r="AM113" i="25"/>
  <c r="AM116" i="25"/>
  <c r="AM128" i="25"/>
  <c r="AM132" i="25"/>
  <c r="AM115" i="25"/>
  <c r="AM125" i="25"/>
  <c r="AM130" i="25"/>
  <c r="AM120" i="25"/>
  <c r="AM107" i="25"/>
  <c r="AM141" i="25"/>
  <c r="AM118" i="25"/>
  <c r="AM142" i="25"/>
  <c r="AM131" i="25"/>
  <c r="AM117" i="25"/>
  <c r="AM119" i="25"/>
  <c r="AM137" i="25"/>
  <c r="R18" i="197" l="1"/>
  <c r="R20" i="197"/>
  <c r="Q18" i="203"/>
  <c r="R22" i="205"/>
  <c r="R17" i="215"/>
  <c r="R21" i="205"/>
  <c r="R20" i="205"/>
  <c r="R20" i="198"/>
  <c r="Q17" i="228"/>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AJ154" i="185"/>
  <c r="T154" i="185"/>
  <c r="S154" i="185"/>
  <c r="R154" i="185"/>
  <c r="AJ153" i="185"/>
  <c r="T153" i="185"/>
  <c r="S153" i="185"/>
  <c r="R153" i="185"/>
  <c r="AJ152" i="185"/>
  <c r="T152" i="185"/>
  <c r="S152" i="185"/>
  <c r="R152" i="185"/>
  <c r="AJ151" i="185"/>
  <c r="T151" i="185"/>
  <c r="S151" i="185"/>
  <c r="R151" i="185"/>
  <c r="AJ150" i="185"/>
  <c r="T150" i="185"/>
  <c r="S150" i="185"/>
  <c r="R150" i="185"/>
  <c r="AJ149" i="185"/>
  <c r="T149" i="185"/>
  <c r="S149" i="185"/>
  <c r="R149" i="185"/>
  <c r="AJ148" i="185"/>
  <c r="T148" i="185"/>
  <c r="S148" i="185"/>
  <c r="R148" i="185"/>
  <c r="AJ147" i="185"/>
  <c r="T147" i="185"/>
  <c r="S147" i="185"/>
  <c r="R147" i="185"/>
  <c r="AJ146" i="185"/>
  <c r="T146" i="185"/>
  <c r="S146" i="185"/>
  <c r="R146" i="185"/>
  <c r="AJ145" i="185"/>
  <c r="T145" i="185"/>
  <c r="S145" i="185"/>
  <c r="R145" i="185"/>
  <c r="AJ144" i="185"/>
  <c r="T144" i="185"/>
  <c r="S144" i="185"/>
  <c r="R144" i="185"/>
  <c r="AJ143" i="185"/>
  <c r="T143" i="185"/>
  <c r="S143" i="185"/>
  <c r="R143" i="185"/>
  <c r="AJ142" i="185"/>
  <c r="T142" i="185"/>
  <c r="S142" i="185"/>
  <c r="R142" i="185"/>
  <c r="AJ141" i="185"/>
  <c r="T141" i="185"/>
  <c r="S141" i="185"/>
  <c r="R141" i="185"/>
  <c r="AJ140" i="185"/>
  <c r="T140" i="185"/>
  <c r="S140" i="185"/>
  <c r="R140" i="185"/>
  <c r="AJ139" i="185"/>
  <c r="T139" i="185"/>
  <c r="S139" i="185"/>
  <c r="R139" i="185"/>
  <c r="AJ138" i="185"/>
  <c r="T138" i="185"/>
  <c r="S138" i="185"/>
  <c r="R138" i="185"/>
  <c r="AJ137" i="185"/>
  <c r="T137" i="185"/>
  <c r="S137" i="185"/>
  <c r="R137" i="185"/>
  <c r="AJ136" i="185"/>
  <c r="T136" i="185"/>
  <c r="S136" i="185"/>
  <c r="R136" i="185"/>
  <c r="AJ135" i="185"/>
  <c r="T135" i="185"/>
  <c r="S135" i="185"/>
  <c r="R135" i="185"/>
  <c r="AJ134" i="185"/>
  <c r="T134" i="185"/>
  <c r="S134" i="185"/>
  <c r="R134" i="185"/>
  <c r="AJ133" i="185"/>
  <c r="T133" i="185"/>
  <c r="S133" i="185"/>
  <c r="R133" i="185"/>
  <c r="AJ132" i="185"/>
  <c r="T132" i="185"/>
  <c r="S132" i="185"/>
  <c r="R132" i="185"/>
  <c r="AJ131" i="185"/>
  <c r="T131" i="185"/>
  <c r="S131" i="185"/>
  <c r="R131" i="185"/>
  <c r="AJ130" i="185"/>
  <c r="T130" i="185"/>
  <c r="S130" i="185"/>
  <c r="R130" i="185"/>
  <c r="AJ129" i="185"/>
  <c r="T129" i="185"/>
  <c r="S129" i="185"/>
  <c r="R129" i="185"/>
  <c r="AJ128" i="185"/>
  <c r="T128" i="185"/>
  <c r="S128" i="185"/>
  <c r="R128" i="185"/>
  <c r="AJ127" i="185"/>
  <c r="T127" i="185"/>
  <c r="S127" i="185"/>
  <c r="R127" i="185"/>
  <c r="AJ126" i="185"/>
  <c r="T126" i="185"/>
  <c r="S126" i="185"/>
  <c r="R126" i="185"/>
  <c r="AJ125" i="185"/>
  <c r="T125" i="185"/>
  <c r="S125" i="185"/>
  <c r="R125" i="185"/>
  <c r="AJ124" i="185"/>
  <c r="T124" i="185"/>
  <c r="S124" i="185"/>
  <c r="R124" i="185"/>
  <c r="AJ123" i="185"/>
  <c r="T123" i="185"/>
  <c r="S123" i="185"/>
  <c r="R123" i="185"/>
  <c r="AJ122" i="185"/>
  <c r="T122" i="185"/>
  <c r="S122" i="185"/>
  <c r="R122" i="185"/>
  <c r="AJ121" i="185"/>
  <c r="T121" i="185"/>
  <c r="S121" i="185"/>
  <c r="R121" i="185"/>
  <c r="AJ120" i="185"/>
  <c r="T120" i="185"/>
  <c r="S120" i="185"/>
  <c r="R120" i="185"/>
  <c r="AJ119" i="185"/>
  <c r="T119" i="185"/>
  <c r="S119" i="185"/>
  <c r="R119" i="185"/>
  <c r="AJ118" i="185"/>
  <c r="T118" i="185"/>
  <c r="S118" i="185"/>
  <c r="R118" i="185"/>
  <c r="AJ117" i="185"/>
  <c r="T117" i="185"/>
  <c r="S117" i="185"/>
  <c r="R117" i="185"/>
  <c r="AJ116" i="185"/>
  <c r="T116" i="185"/>
  <c r="S116" i="185"/>
  <c r="R116" i="185"/>
  <c r="AJ115" i="185"/>
  <c r="T115" i="185"/>
  <c r="S115" i="185"/>
  <c r="R115" i="185"/>
  <c r="AJ114" i="185"/>
  <c r="T114" i="185"/>
  <c r="S114" i="185"/>
  <c r="R114" i="185"/>
  <c r="AJ113" i="185"/>
  <c r="T113" i="185"/>
  <c r="S113" i="185"/>
  <c r="R113" i="185"/>
  <c r="AJ112" i="185"/>
  <c r="T112" i="185"/>
  <c r="S112" i="185"/>
  <c r="R112" i="185"/>
  <c r="AJ111" i="185"/>
  <c r="T111" i="185"/>
  <c r="S111" i="185"/>
  <c r="R111" i="185"/>
  <c r="AJ110" i="185"/>
  <c r="T110" i="185"/>
  <c r="S110" i="185"/>
  <c r="R110" i="185"/>
  <c r="AJ109" i="185"/>
  <c r="T109" i="185"/>
  <c r="S109" i="185"/>
  <c r="R109" i="185"/>
  <c r="AJ108" i="185"/>
  <c r="T108" i="185"/>
  <c r="S108" i="185"/>
  <c r="R108" i="185"/>
  <c r="AJ107" i="185"/>
  <c r="T107" i="185"/>
  <c r="S107" i="185"/>
  <c r="R107" i="185"/>
  <c r="AJ106" i="185"/>
  <c r="T106" i="185"/>
  <c r="S106" i="185"/>
  <c r="R106" i="185"/>
  <c r="AJ105" i="185"/>
  <c r="T105" i="185"/>
  <c r="S105" i="185"/>
  <c r="R105" i="185"/>
  <c r="AJ104" i="185"/>
  <c r="T104" i="185"/>
  <c r="S104" i="185"/>
  <c r="R104" i="185"/>
  <c r="AJ103" i="185"/>
  <c r="T103" i="185"/>
  <c r="S103" i="185"/>
  <c r="R103" i="185"/>
  <c r="AJ102" i="185"/>
  <c r="T102" i="185"/>
  <c r="S102" i="185"/>
  <c r="R102" i="185"/>
  <c r="AJ101" i="185"/>
  <c r="T101" i="185"/>
  <c r="S101" i="185"/>
  <c r="R101" i="185"/>
  <c r="AJ100" i="185"/>
  <c r="T100" i="185"/>
  <c r="S100" i="185"/>
  <c r="R100" i="185"/>
  <c r="AJ99" i="185"/>
  <c r="T99" i="185"/>
  <c r="S99" i="185"/>
  <c r="R99" i="185"/>
  <c r="AJ98" i="185"/>
  <c r="T98" i="185"/>
  <c r="S98" i="185"/>
  <c r="R98" i="185"/>
  <c r="AJ97" i="185"/>
  <c r="T97" i="185"/>
  <c r="S97" i="185"/>
  <c r="R97" i="185"/>
  <c r="AJ96" i="185"/>
  <c r="T96" i="185"/>
  <c r="S96" i="185"/>
  <c r="R96" i="185"/>
  <c r="AJ95" i="185"/>
  <c r="T95" i="185"/>
  <c r="S95" i="185"/>
  <c r="R95" i="185"/>
  <c r="AJ94" i="185"/>
  <c r="T94" i="185"/>
  <c r="S94" i="185"/>
  <c r="R94" i="185"/>
  <c r="AJ93" i="185"/>
  <c r="T93" i="185"/>
  <c r="S93" i="185"/>
  <c r="R93" i="185"/>
  <c r="AJ92" i="185"/>
  <c r="T92" i="185"/>
  <c r="S92" i="185"/>
  <c r="R92" i="185"/>
  <c r="AJ91" i="185"/>
  <c r="T91" i="185"/>
  <c r="S91" i="185"/>
  <c r="R91" i="185"/>
  <c r="AJ90" i="185"/>
  <c r="T90" i="185"/>
  <c r="S90" i="185"/>
  <c r="R90" i="185"/>
  <c r="AJ89" i="185"/>
  <c r="T89" i="185"/>
  <c r="S89" i="185"/>
  <c r="R89" i="185"/>
  <c r="AJ88" i="185"/>
  <c r="T88" i="185"/>
  <c r="S88" i="185"/>
  <c r="R88" i="185"/>
  <c r="AJ87" i="185"/>
  <c r="T87" i="185"/>
  <c r="S87" i="185"/>
  <c r="R87" i="185"/>
  <c r="AJ86" i="185"/>
  <c r="T86" i="185"/>
  <c r="S86" i="185"/>
  <c r="R86" i="185"/>
  <c r="AJ85" i="185"/>
  <c r="T85" i="185"/>
  <c r="S85" i="185"/>
  <c r="R85" i="185"/>
  <c r="AJ84" i="185"/>
  <c r="T84" i="185"/>
  <c r="S84" i="185"/>
  <c r="R84" i="185"/>
  <c r="AJ83" i="185"/>
  <c r="T83" i="185"/>
  <c r="S83" i="185"/>
  <c r="R83" i="185"/>
  <c r="AJ82" i="185"/>
  <c r="T82" i="185"/>
  <c r="S82" i="185"/>
  <c r="R82" i="185"/>
  <c r="AJ81" i="185"/>
  <c r="T81" i="185"/>
  <c r="S81" i="185"/>
  <c r="R81" i="185"/>
  <c r="AJ80" i="185"/>
  <c r="T80" i="185"/>
  <c r="S80" i="185"/>
  <c r="R80" i="185"/>
  <c r="AJ79" i="185"/>
  <c r="T79" i="185"/>
  <c r="S79" i="185"/>
  <c r="R79" i="185"/>
  <c r="AJ78" i="185"/>
  <c r="T78" i="185"/>
  <c r="S78" i="185"/>
  <c r="R78" i="185"/>
  <c r="AJ77" i="185"/>
  <c r="T77" i="185"/>
  <c r="S77" i="185"/>
  <c r="R77" i="185"/>
  <c r="AJ76" i="185"/>
  <c r="T76" i="185"/>
  <c r="S76" i="185"/>
  <c r="R76" i="185"/>
  <c r="AJ75" i="185"/>
  <c r="T75" i="185"/>
  <c r="S75" i="185"/>
  <c r="R75" i="185"/>
  <c r="AJ74" i="185"/>
  <c r="T74" i="185"/>
  <c r="S74" i="185"/>
  <c r="R74" i="185"/>
  <c r="AJ73" i="185"/>
  <c r="T73" i="185"/>
  <c r="S73" i="185"/>
  <c r="R73" i="185"/>
  <c r="AJ72" i="185"/>
  <c r="T72" i="185"/>
  <c r="S72" i="185"/>
  <c r="R72" i="185"/>
  <c r="AJ71" i="185"/>
  <c r="T71" i="185"/>
  <c r="S71" i="185"/>
  <c r="R71" i="185"/>
  <c r="AJ70" i="185"/>
  <c r="T70" i="185"/>
  <c r="S70" i="185"/>
  <c r="R70" i="185"/>
  <c r="AJ69" i="185"/>
  <c r="T69" i="185"/>
  <c r="S69" i="185"/>
  <c r="R69" i="185"/>
  <c r="AJ68" i="185"/>
  <c r="T68" i="185"/>
  <c r="S68" i="185"/>
  <c r="R68" i="185"/>
  <c r="AJ67" i="185"/>
  <c r="T67" i="185"/>
  <c r="S67" i="185"/>
  <c r="R67" i="185"/>
  <c r="AJ66" i="185"/>
  <c r="T66" i="185"/>
  <c r="S66" i="185"/>
  <c r="R66" i="185"/>
  <c r="AJ65" i="185"/>
  <c r="T65" i="185"/>
  <c r="S65" i="185"/>
  <c r="R65" i="185"/>
  <c r="AJ64" i="185"/>
  <c r="T64" i="185"/>
  <c r="S64" i="185"/>
  <c r="R64" i="185"/>
  <c r="AJ63" i="185"/>
  <c r="T63" i="185"/>
  <c r="S63" i="185"/>
  <c r="R63" i="185"/>
  <c r="AJ62" i="185"/>
  <c r="T62" i="185"/>
  <c r="S62" i="185"/>
  <c r="R62" i="185"/>
  <c r="AJ61" i="185"/>
  <c r="T61" i="185"/>
  <c r="S61" i="185"/>
  <c r="R61" i="185"/>
  <c r="AJ60" i="185"/>
  <c r="T60" i="185"/>
  <c r="S60" i="185"/>
  <c r="R60" i="185"/>
  <c r="AJ59" i="185"/>
  <c r="T59" i="185"/>
  <c r="S59" i="185"/>
  <c r="R59" i="185"/>
  <c r="AJ58" i="185"/>
  <c r="T58" i="185"/>
  <c r="S58" i="185"/>
  <c r="R58" i="185"/>
  <c r="AJ57" i="185"/>
  <c r="T57" i="185"/>
  <c r="S57" i="185"/>
  <c r="R57" i="185"/>
  <c r="AJ56" i="185"/>
  <c r="T56" i="185"/>
  <c r="S56" i="185"/>
  <c r="R56" i="185"/>
  <c r="AJ55" i="185"/>
  <c r="T55" i="185"/>
  <c r="S55" i="185"/>
  <c r="R55" i="185"/>
  <c r="AJ54" i="185"/>
  <c r="T54" i="185"/>
  <c r="S54" i="185"/>
  <c r="R54" i="185"/>
  <c r="AJ53" i="185"/>
  <c r="T53" i="185"/>
  <c r="S53" i="185"/>
  <c r="R53" i="185"/>
  <c r="AJ52" i="185"/>
  <c r="T52" i="185"/>
  <c r="S52" i="185"/>
  <c r="R52" i="185"/>
  <c r="AJ51" i="185"/>
  <c r="T51" i="185"/>
  <c r="S51" i="185"/>
  <c r="R51" i="185"/>
  <c r="AJ50" i="185"/>
  <c r="T50" i="185"/>
  <c r="S50" i="185"/>
  <c r="R50" i="185"/>
  <c r="AJ49" i="185"/>
  <c r="T49" i="185"/>
  <c r="S49" i="185"/>
  <c r="R49" i="185"/>
  <c r="AJ48" i="185"/>
  <c r="T48" i="185"/>
  <c r="S48" i="185"/>
  <c r="R48" i="185"/>
  <c r="AJ153" i="182"/>
  <c r="T153" i="182"/>
  <c r="S153" i="182"/>
  <c r="R153" i="182"/>
  <c r="AJ152" i="182"/>
  <c r="T152" i="182"/>
  <c r="S152" i="182"/>
  <c r="R152" i="182"/>
  <c r="AJ151" i="182"/>
  <c r="T151" i="182"/>
  <c r="S151" i="182"/>
  <c r="R151" i="182"/>
  <c r="AJ150" i="182"/>
  <c r="T150" i="182"/>
  <c r="S150" i="182"/>
  <c r="R150" i="182"/>
  <c r="AJ149" i="182"/>
  <c r="T149" i="182"/>
  <c r="S149" i="182"/>
  <c r="R149" i="182"/>
  <c r="AJ148" i="182"/>
  <c r="T148" i="182"/>
  <c r="S148" i="182"/>
  <c r="R148" i="182"/>
  <c r="AJ147" i="182"/>
  <c r="T147" i="182"/>
  <c r="S147" i="182"/>
  <c r="R147" i="182"/>
  <c r="AJ146" i="182"/>
  <c r="T146" i="182"/>
  <c r="S146" i="182"/>
  <c r="R146" i="182"/>
  <c r="AJ145" i="182"/>
  <c r="T145" i="182"/>
  <c r="S145" i="182"/>
  <c r="R145" i="182"/>
  <c r="AJ144" i="182"/>
  <c r="T144" i="182"/>
  <c r="S144" i="182"/>
  <c r="R144" i="182"/>
  <c r="AJ143" i="182"/>
  <c r="T143" i="182"/>
  <c r="S143" i="182"/>
  <c r="R143" i="182"/>
  <c r="AJ142" i="182"/>
  <c r="T142" i="182"/>
  <c r="S142" i="182"/>
  <c r="R142" i="182"/>
  <c r="AJ141" i="182"/>
  <c r="T141" i="182"/>
  <c r="S141" i="182"/>
  <c r="R141" i="182"/>
  <c r="AJ140" i="182"/>
  <c r="T140" i="182"/>
  <c r="S140" i="182"/>
  <c r="R140" i="182"/>
  <c r="AJ139" i="182"/>
  <c r="T139" i="182"/>
  <c r="S139" i="182"/>
  <c r="R139" i="182"/>
  <c r="AJ138" i="182"/>
  <c r="T138" i="182"/>
  <c r="S138" i="182"/>
  <c r="R138" i="182"/>
  <c r="AJ137" i="182"/>
  <c r="T137" i="182"/>
  <c r="S137" i="182"/>
  <c r="R137" i="182"/>
  <c r="AJ136" i="182"/>
  <c r="T136" i="182"/>
  <c r="S136" i="182"/>
  <c r="R136" i="182"/>
  <c r="AJ135" i="182"/>
  <c r="T135" i="182"/>
  <c r="S135" i="182"/>
  <c r="R135" i="182"/>
  <c r="AJ134" i="182"/>
  <c r="T134" i="182"/>
  <c r="S134" i="182"/>
  <c r="R134" i="182"/>
  <c r="AJ133" i="182"/>
  <c r="T133" i="182"/>
  <c r="S133" i="182"/>
  <c r="R133" i="182"/>
  <c r="AJ132" i="182"/>
  <c r="T132" i="182"/>
  <c r="S132" i="182"/>
  <c r="R132" i="182"/>
  <c r="AJ131" i="182"/>
  <c r="T131" i="182"/>
  <c r="S131" i="182"/>
  <c r="R131" i="182"/>
  <c r="AJ130" i="182"/>
  <c r="T130" i="182"/>
  <c r="S130" i="182"/>
  <c r="R130" i="182"/>
  <c r="AJ129" i="182"/>
  <c r="T129" i="182"/>
  <c r="S129" i="182"/>
  <c r="R129" i="182"/>
  <c r="AJ128" i="182"/>
  <c r="T128" i="182"/>
  <c r="S128" i="182"/>
  <c r="R128" i="182"/>
  <c r="AJ127" i="182"/>
  <c r="T127" i="182"/>
  <c r="S127" i="182"/>
  <c r="R127" i="182"/>
  <c r="AJ126" i="182"/>
  <c r="T126" i="182"/>
  <c r="S126" i="182"/>
  <c r="R126" i="182"/>
  <c r="AJ125" i="182"/>
  <c r="T125" i="182"/>
  <c r="S125" i="182"/>
  <c r="R125" i="182"/>
  <c r="AJ124" i="182"/>
  <c r="T124" i="182"/>
  <c r="S124" i="182"/>
  <c r="R124" i="182"/>
  <c r="AJ123" i="182"/>
  <c r="T123" i="182"/>
  <c r="S123" i="182"/>
  <c r="R123" i="182"/>
  <c r="AJ122" i="182"/>
  <c r="T122" i="182"/>
  <c r="S122" i="182"/>
  <c r="R122" i="182"/>
  <c r="AJ121" i="182"/>
  <c r="T121" i="182"/>
  <c r="S121" i="182"/>
  <c r="R121" i="182"/>
  <c r="AJ120" i="182"/>
  <c r="T120" i="182"/>
  <c r="S120" i="182"/>
  <c r="R120" i="182"/>
  <c r="AJ119" i="182"/>
  <c r="T119" i="182"/>
  <c r="S119" i="182"/>
  <c r="R119" i="182"/>
  <c r="AJ118" i="182"/>
  <c r="T118" i="182"/>
  <c r="S118" i="182"/>
  <c r="R118" i="182"/>
  <c r="AJ117" i="182"/>
  <c r="T117" i="182"/>
  <c r="S117" i="182"/>
  <c r="R117" i="182"/>
  <c r="AJ116" i="182"/>
  <c r="T116" i="182"/>
  <c r="S116" i="182"/>
  <c r="R116" i="182"/>
  <c r="AJ115" i="182"/>
  <c r="T115" i="182"/>
  <c r="S115" i="182"/>
  <c r="R115" i="182"/>
  <c r="AJ114" i="182"/>
  <c r="T114" i="182"/>
  <c r="S114" i="182"/>
  <c r="R114" i="182"/>
  <c r="AJ113" i="182"/>
  <c r="T113" i="182"/>
  <c r="S113" i="182"/>
  <c r="R113" i="182"/>
  <c r="AJ112" i="182"/>
  <c r="T112" i="182"/>
  <c r="S112" i="182"/>
  <c r="R112" i="182"/>
  <c r="AJ111" i="182"/>
  <c r="T111" i="182"/>
  <c r="S111" i="182"/>
  <c r="R111" i="182"/>
  <c r="AJ110" i="182"/>
  <c r="T110" i="182"/>
  <c r="S110" i="182"/>
  <c r="R110" i="182"/>
  <c r="AJ109" i="182"/>
  <c r="T109" i="182"/>
  <c r="S109" i="182"/>
  <c r="R109" i="182"/>
  <c r="AJ108" i="182"/>
  <c r="T108" i="182"/>
  <c r="S108" i="182"/>
  <c r="R108" i="182"/>
  <c r="AJ107" i="182"/>
  <c r="T107" i="182"/>
  <c r="S107" i="182"/>
  <c r="R107" i="182"/>
  <c r="AJ106" i="182"/>
  <c r="T106" i="182"/>
  <c r="S106" i="182"/>
  <c r="R106" i="182"/>
  <c r="AJ105" i="182"/>
  <c r="T105" i="182"/>
  <c r="S105" i="182"/>
  <c r="R105" i="182"/>
  <c r="AJ104" i="182"/>
  <c r="T104" i="182"/>
  <c r="S104" i="182"/>
  <c r="R104" i="182"/>
  <c r="AJ103" i="182"/>
  <c r="T103" i="182"/>
  <c r="S103" i="182"/>
  <c r="R103" i="182"/>
  <c r="AJ102" i="182"/>
  <c r="T102" i="182"/>
  <c r="S102" i="182"/>
  <c r="R102" i="182"/>
  <c r="AJ101" i="182"/>
  <c r="T101" i="182"/>
  <c r="S101" i="182"/>
  <c r="R101" i="182"/>
  <c r="AJ100" i="182"/>
  <c r="T100" i="182"/>
  <c r="S100" i="182"/>
  <c r="R100" i="182"/>
  <c r="AJ99" i="182"/>
  <c r="T99" i="182"/>
  <c r="S99" i="182"/>
  <c r="R99" i="182"/>
  <c r="AJ98" i="182"/>
  <c r="T98" i="182"/>
  <c r="S98" i="182"/>
  <c r="R98" i="182"/>
  <c r="AJ97" i="182"/>
  <c r="T97" i="182"/>
  <c r="S97" i="182"/>
  <c r="R97" i="182"/>
  <c r="AJ96" i="182"/>
  <c r="T96" i="182"/>
  <c r="S96" i="182"/>
  <c r="R96" i="182"/>
  <c r="AJ95" i="182"/>
  <c r="T95" i="182"/>
  <c r="S95" i="182"/>
  <c r="R95" i="182"/>
  <c r="AJ94" i="182"/>
  <c r="T94" i="182"/>
  <c r="S94" i="182"/>
  <c r="R94" i="182"/>
  <c r="AJ93" i="182"/>
  <c r="T93" i="182"/>
  <c r="S93" i="182"/>
  <c r="R93" i="182"/>
  <c r="AJ92" i="182"/>
  <c r="T92" i="182"/>
  <c r="S92" i="182"/>
  <c r="R92" i="182"/>
  <c r="AJ91" i="182"/>
  <c r="T91" i="182"/>
  <c r="S91" i="182"/>
  <c r="R91" i="182"/>
  <c r="AJ90" i="182"/>
  <c r="T90" i="182"/>
  <c r="S90" i="182"/>
  <c r="R90" i="182"/>
  <c r="AJ89" i="182"/>
  <c r="T89" i="182"/>
  <c r="S89" i="182"/>
  <c r="R89" i="182"/>
  <c r="AJ88" i="182"/>
  <c r="T88" i="182"/>
  <c r="S88" i="182"/>
  <c r="R88" i="182"/>
  <c r="AJ87" i="182"/>
  <c r="T87" i="182"/>
  <c r="S87" i="182"/>
  <c r="R87" i="182"/>
  <c r="AJ86" i="182"/>
  <c r="T86" i="182"/>
  <c r="S86" i="182"/>
  <c r="R86" i="182"/>
  <c r="AJ85" i="182"/>
  <c r="T85" i="182"/>
  <c r="S85" i="182"/>
  <c r="R85" i="182"/>
  <c r="AJ84" i="182"/>
  <c r="T84" i="182"/>
  <c r="S84" i="182"/>
  <c r="R84" i="182"/>
  <c r="AJ83" i="182"/>
  <c r="T83" i="182"/>
  <c r="S83" i="182"/>
  <c r="R83" i="182"/>
  <c r="AJ82" i="182"/>
  <c r="T82" i="182"/>
  <c r="S82" i="182"/>
  <c r="R82" i="182"/>
  <c r="AJ81" i="182"/>
  <c r="T81" i="182"/>
  <c r="S81" i="182"/>
  <c r="R81" i="182"/>
  <c r="AJ80" i="182"/>
  <c r="T80" i="182"/>
  <c r="S80" i="182"/>
  <c r="R80" i="182"/>
  <c r="AJ79" i="182"/>
  <c r="T79" i="182"/>
  <c r="S79" i="182"/>
  <c r="R79" i="182"/>
  <c r="AJ78" i="182"/>
  <c r="T78" i="182"/>
  <c r="S78" i="182"/>
  <c r="R78" i="182"/>
  <c r="AJ77" i="182"/>
  <c r="T77" i="182"/>
  <c r="S77" i="182"/>
  <c r="R77" i="182"/>
  <c r="AJ76" i="182"/>
  <c r="T76" i="182"/>
  <c r="S76" i="182"/>
  <c r="R76" i="182"/>
  <c r="AJ75" i="182"/>
  <c r="T75" i="182"/>
  <c r="S75" i="182"/>
  <c r="R75" i="182"/>
  <c r="AJ74" i="182"/>
  <c r="T74" i="182"/>
  <c r="S74" i="182"/>
  <c r="R74" i="182"/>
  <c r="AJ73" i="182"/>
  <c r="T73" i="182"/>
  <c r="S73" i="182"/>
  <c r="R73" i="182"/>
  <c r="AJ72" i="182"/>
  <c r="T72" i="182"/>
  <c r="S72" i="182"/>
  <c r="R72" i="182"/>
  <c r="AJ71" i="182"/>
  <c r="T71" i="182"/>
  <c r="S71" i="182"/>
  <c r="R71" i="182"/>
  <c r="AJ70" i="182"/>
  <c r="T70" i="182"/>
  <c r="S70" i="182"/>
  <c r="R70" i="182"/>
  <c r="AJ69" i="182"/>
  <c r="T69" i="182"/>
  <c r="S69" i="182"/>
  <c r="R69" i="182"/>
  <c r="AJ68" i="182"/>
  <c r="T68" i="182"/>
  <c r="S68" i="182"/>
  <c r="R68" i="182"/>
  <c r="AJ67" i="182"/>
  <c r="T67" i="182"/>
  <c r="S67" i="182"/>
  <c r="R67" i="182"/>
  <c r="AJ66" i="182"/>
  <c r="T66" i="182"/>
  <c r="S66" i="182"/>
  <c r="R66" i="182"/>
  <c r="AJ65" i="182"/>
  <c r="T65" i="182"/>
  <c r="S65" i="182"/>
  <c r="R65" i="182"/>
  <c r="AJ64" i="182"/>
  <c r="T64" i="182"/>
  <c r="S64" i="182"/>
  <c r="R64" i="182"/>
  <c r="AJ63" i="182"/>
  <c r="T63" i="182"/>
  <c r="S63" i="182"/>
  <c r="R63" i="182"/>
  <c r="AJ62" i="182"/>
  <c r="T62" i="182"/>
  <c r="S62" i="182"/>
  <c r="R62" i="182"/>
  <c r="AJ61" i="182"/>
  <c r="T61" i="182"/>
  <c r="S61" i="182"/>
  <c r="R61" i="182"/>
  <c r="AJ60" i="182"/>
  <c r="T60" i="182"/>
  <c r="S60" i="182"/>
  <c r="R60" i="182"/>
  <c r="AJ59" i="182"/>
  <c r="T59" i="182"/>
  <c r="S59" i="182"/>
  <c r="R59" i="182"/>
  <c r="AJ58" i="182"/>
  <c r="T58" i="182"/>
  <c r="S58" i="182"/>
  <c r="R58" i="182"/>
  <c r="AJ57" i="182"/>
  <c r="T57" i="182"/>
  <c r="S57" i="182"/>
  <c r="R57" i="182"/>
  <c r="AJ56" i="182"/>
  <c r="T56" i="182"/>
  <c r="S56" i="182"/>
  <c r="R56" i="182"/>
  <c r="AJ55" i="182"/>
  <c r="T55" i="182"/>
  <c r="S55" i="182"/>
  <c r="R55" i="182"/>
  <c r="AJ54" i="182"/>
  <c r="T54" i="182"/>
  <c r="S54" i="182"/>
  <c r="R54" i="182"/>
  <c r="AJ53" i="182"/>
  <c r="T53" i="182"/>
  <c r="S53" i="182"/>
  <c r="R53" i="182"/>
  <c r="AJ52" i="182"/>
  <c r="T52" i="182"/>
  <c r="S52" i="182"/>
  <c r="R52" i="182"/>
  <c r="AJ51" i="182"/>
  <c r="T51" i="182"/>
  <c r="S51" i="182"/>
  <c r="R51" i="182"/>
  <c r="AJ50" i="182"/>
  <c r="T50" i="182"/>
  <c r="S50" i="182"/>
  <c r="R50" i="182"/>
  <c r="AJ49" i="182"/>
  <c r="T49" i="182"/>
  <c r="S49" i="182"/>
  <c r="R49" i="182"/>
  <c r="AJ48" i="182"/>
  <c r="T48" i="182"/>
  <c r="S48" i="182"/>
  <c r="R48" i="182"/>
  <c r="AJ47" i="182"/>
  <c r="T47" i="182"/>
  <c r="S47" i="182"/>
  <c r="R47" i="182"/>
  <c r="AJ46" i="182"/>
  <c r="T46" i="182"/>
  <c r="S46" i="182"/>
  <c r="R46" i="182"/>
  <c r="AJ45" i="182"/>
  <c r="T45" i="182"/>
  <c r="S45" i="182"/>
  <c r="R45" i="182"/>
  <c r="AJ44" i="182"/>
  <c r="T44" i="182"/>
  <c r="S44" i="182"/>
  <c r="R44" i="182"/>
  <c r="AJ43" i="182"/>
  <c r="T43" i="182"/>
  <c r="S43" i="182"/>
  <c r="R43" i="182"/>
  <c r="AJ42" i="182"/>
  <c r="T42" i="182"/>
  <c r="S42" i="182"/>
  <c r="R42" i="182"/>
  <c r="AJ41" i="182"/>
  <c r="T41" i="182"/>
  <c r="S41" i="182"/>
  <c r="R41" i="182"/>
  <c r="AJ40" i="182"/>
  <c r="T40" i="182"/>
  <c r="S40" i="182"/>
  <c r="R40" i="182"/>
  <c r="AJ39" i="182"/>
  <c r="T39" i="182"/>
  <c r="S39" i="182"/>
  <c r="R39" i="182"/>
  <c r="AJ38" i="182"/>
  <c r="T38" i="182"/>
  <c r="S38" i="182"/>
  <c r="R38" i="182"/>
  <c r="AJ37" i="182"/>
  <c r="T37" i="182"/>
  <c r="S37" i="182"/>
  <c r="R37" i="182"/>
  <c r="AJ36" i="182"/>
  <c r="T36" i="182"/>
  <c r="S36" i="182"/>
  <c r="R36" i="182"/>
  <c r="AJ35" i="182"/>
  <c r="T35" i="182"/>
  <c r="S35" i="182"/>
  <c r="R35" i="182"/>
  <c r="AJ34" i="182"/>
  <c r="T34" i="182"/>
  <c r="S34" i="182"/>
  <c r="R34" i="182"/>
  <c r="AJ33" i="182"/>
  <c r="T33" i="182"/>
  <c r="S33" i="182"/>
  <c r="R33" i="182"/>
  <c r="AJ32" i="182"/>
  <c r="T32" i="182"/>
  <c r="S32" i="182"/>
  <c r="R32" i="182"/>
  <c r="AJ31" i="182"/>
  <c r="T31" i="182"/>
  <c r="S31" i="182"/>
  <c r="R31" i="182"/>
  <c r="AJ30" i="182"/>
  <c r="T30" i="182"/>
  <c r="S30" i="182"/>
  <c r="R30" i="182"/>
  <c r="AJ29" i="182"/>
  <c r="T29" i="182"/>
  <c r="S29" i="182"/>
  <c r="R29" i="182"/>
  <c r="AJ28" i="182"/>
  <c r="T28" i="182"/>
  <c r="S28" i="182"/>
  <c r="R28" i="182"/>
  <c r="AJ27" i="182"/>
  <c r="T27" i="182"/>
  <c r="S27" i="182"/>
  <c r="R27" i="182"/>
  <c r="AJ26" i="182"/>
  <c r="T26" i="182"/>
  <c r="S26" i="182"/>
  <c r="R26" i="182"/>
  <c r="AJ25" i="182"/>
  <c r="T25" i="182"/>
  <c r="S25" i="182"/>
  <c r="R25" i="182"/>
  <c r="AJ24" i="182"/>
  <c r="T24" i="182"/>
  <c r="S24" i="182"/>
  <c r="AJ23" i="182"/>
  <c r="T23" i="182"/>
  <c r="S23" i="182"/>
  <c r="AJ22" i="182"/>
  <c r="T22" i="182"/>
  <c r="S22" i="182"/>
  <c r="R22" i="182"/>
  <c r="AJ21" i="182"/>
  <c r="T21" i="182"/>
  <c r="S21" i="182"/>
  <c r="R21" i="182"/>
  <c r="AJ20" i="182"/>
  <c r="T20" i="182"/>
  <c r="S20" i="182"/>
  <c r="R20" i="182"/>
  <c r="AJ19" i="182"/>
  <c r="T19" i="182"/>
  <c r="S19" i="182"/>
  <c r="R19" i="182"/>
  <c r="AJ18" i="182"/>
  <c r="T18" i="182"/>
  <c r="S18" i="182"/>
  <c r="R18" i="182"/>
  <c r="AJ17" i="182"/>
  <c r="T17" i="182"/>
  <c r="S17" i="182"/>
  <c r="AJ16" i="182"/>
  <c r="T16" i="182"/>
  <c r="S16" i="182"/>
  <c r="R16" i="182"/>
  <c r="AJ15" i="182"/>
  <c r="T15" i="182"/>
  <c r="S15" i="182"/>
  <c r="R15" i="182"/>
  <c r="AJ14" i="182"/>
  <c r="T14" i="182"/>
  <c r="S14" i="182"/>
  <c r="R14" i="182"/>
  <c r="AJ13" i="182"/>
  <c r="T13" i="182"/>
  <c r="S13" i="182"/>
  <c r="R13" i="182"/>
  <c r="AJ47" i="185"/>
  <c r="T47" i="185"/>
  <c r="S47" i="185"/>
  <c r="R47" i="185"/>
  <c r="AJ46" i="185"/>
  <c r="T46" i="185"/>
  <c r="S46" i="185"/>
  <c r="R46" i="185"/>
  <c r="AJ45" i="185"/>
  <c r="T45" i="185"/>
  <c r="S45" i="185"/>
  <c r="R45" i="185"/>
  <c r="AJ44" i="185"/>
  <c r="T44" i="185"/>
  <c r="S44" i="185"/>
  <c r="R44" i="185"/>
  <c r="AJ43" i="185"/>
  <c r="T43" i="185"/>
  <c r="S43" i="185"/>
  <c r="R43" i="185"/>
  <c r="AJ42" i="185"/>
  <c r="T42" i="185"/>
  <c r="S42" i="185"/>
  <c r="R42" i="185"/>
  <c r="AJ41" i="185"/>
  <c r="T41" i="185"/>
  <c r="S41" i="185"/>
  <c r="R41" i="185"/>
  <c r="AJ40" i="185"/>
  <c r="T40" i="185"/>
  <c r="S40" i="185"/>
  <c r="R40" i="185"/>
  <c r="AJ39" i="185"/>
  <c r="T39" i="185"/>
  <c r="S39" i="185"/>
  <c r="R39" i="185"/>
  <c r="AJ38" i="185"/>
  <c r="T38" i="185"/>
  <c r="S38" i="185"/>
  <c r="R38" i="185"/>
  <c r="AJ37" i="185"/>
  <c r="T37" i="185"/>
  <c r="S37" i="185"/>
  <c r="R37" i="185"/>
  <c r="AJ36" i="185"/>
  <c r="T36" i="185"/>
  <c r="S36" i="185"/>
  <c r="R36" i="185"/>
  <c r="AJ35" i="185"/>
  <c r="T35" i="185"/>
  <c r="S35" i="185"/>
  <c r="R35" i="185"/>
  <c r="AJ34" i="185"/>
  <c r="T34" i="185"/>
  <c r="S34" i="185"/>
  <c r="R34" i="185"/>
  <c r="AJ33" i="185"/>
  <c r="T33" i="185"/>
  <c r="S33" i="185"/>
  <c r="R33" i="185"/>
  <c r="AJ32" i="185"/>
  <c r="T32" i="185"/>
  <c r="S32" i="185"/>
  <c r="R32" i="185"/>
  <c r="AJ31" i="185"/>
  <c r="T31" i="185"/>
  <c r="S31" i="185"/>
  <c r="R31" i="185"/>
  <c r="AJ30" i="185"/>
  <c r="T30" i="185"/>
  <c r="S30" i="185"/>
  <c r="R30" i="185"/>
  <c r="AJ29" i="185"/>
  <c r="T29" i="185"/>
  <c r="S29" i="185"/>
  <c r="R29" i="185"/>
  <c r="AJ28" i="185"/>
  <c r="T28" i="185"/>
  <c r="S28" i="185"/>
  <c r="R28" i="185"/>
  <c r="AJ27" i="185"/>
  <c r="T27" i="185"/>
  <c r="S27" i="185"/>
  <c r="R27" i="185"/>
  <c r="AJ26" i="185"/>
  <c r="T26" i="185"/>
  <c r="S26" i="185"/>
  <c r="R26" i="185"/>
  <c r="AJ25" i="185"/>
  <c r="T25" i="185"/>
  <c r="S25" i="185"/>
  <c r="R25" i="185"/>
  <c r="AJ24" i="185"/>
  <c r="T24" i="185"/>
  <c r="S24" i="185"/>
  <c r="R24" i="185"/>
  <c r="AJ23" i="185"/>
  <c r="T23" i="185"/>
  <c r="S23" i="185"/>
  <c r="AJ22" i="185"/>
  <c r="T22" i="185"/>
  <c r="S22" i="185"/>
  <c r="AJ21" i="185"/>
  <c r="T21" i="185"/>
  <c r="S21" i="185"/>
  <c r="R21" i="185"/>
  <c r="AJ20" i="185"/>
  <c r="T20" i="185"/>
  <c r="S20" i="185"/>
  <c r="R20" i="185"/>
  <c r="AJ19" i="185"/>
  <c r="T19" i="185"/>
  <c r="S19" i="185"/>
  <c r="R19" i="185"/>
  <c r="AJ18" i="185"/>
  <c r="T18" i="185"/>
  <c r="S18" i="185"/>
  <c r="R18" i="185"/>
  <c r="AJ17" i="185"/>
  <c r="T17" i="185"/>
  <c r="S17" i="185"/>
  <c r="AJ16" i="185"/>
  <c r="T16" i="185"/>
  <c r="S16" i="185"/>
  <c r="R16" i="185"/>
  <c r="AJ15" i="185"/>
  <c r="T15" i="185"/>
  <c r="S15" i="185"/>
  <c r="R15" i="185"/>
  <c r="AJ14" i="185"/>
  <c r="T14" i="185"/>
  <c r="S14" i="185"/>
  <c r="R14" i="185"/>
  <c r="AJ13" i="185"/>
  <c r="T13" i="185"/>
  <c r="S13" i="185"/>
  <c r="R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AJ46" i="181"/>
  <c r="T46" i="181"/>
  <c r="S46" i="181"/>
  <c r="R46" i="181"/>
  <c r="AJ45" i="181"/>
  <c r="T45" i="181"/>
  <c r="S45" i="181"/>
  <c r="R45" i="181"/>
  <c r="AJ44" i="181"/>
  <c r="T44" i="181"/>
  <c r="S44" i="181"/>
  <c r="R44" i="181"/>
  <c r="AJ43" i="181"/>
  <c r="T43" i="181"/>
  <c r="S43" i="181"/>
  <c r="R43" i="181"/>
  <c r="AJ42" i="181"/>
  <c r="T42" i="181"/>
  <c r="S42" i="181"/>
  <c r="R42" i="181"/>
  <c r="AJ41" i="181"/>
  <c r="T41" i="181"/>
  <c r="S41" i="181"/>
  <c r="R41" i="181"/>
  <c r="AJ40" i="181"/>
  <c r="T40" i="181"/>
  <c r="S40" i="181"/>
  <c r="R40" i="181"/>
  <c r="AJ39" i="181"/>
  <c r="T39" i="181"/>
  <c r="S39" i="181"/>
  <c r="R39" i="181"/>
  <c r="AJ38" i="181"/>
  <c r="T38" i="181"/>
  <c r="S38" i="181"/>
  <c r="R38" i="181"/>
  <c r="AJ37" i="181"/>
  <c r="T37" i="181"/>
  <c r="S37" i="181"/>
  <c r="R37" i="181"/>
  <c r="AJ36" i="181"/>
  <c r="T36" i="181"/>
  <c r="S36" i="181"/>
  <c r="R36" i="181"/>
  <c r="AJ35" i="181"/>
  <c r="T35" i="181"/>
  <c r="S35" i="181"/>
  <c r="R35" i="181"/>
  <c r="AJ34" i="181"/>
  <c r="T34" i="181"/>
  <c r="S34" i="181"/>
  <c r="R34" i="181"/>
  <c r="AJ33" i="181"/>
  <c r="T33" i="181"/>
  <c r="S33" i="181"/>
  <c r="R33" i="181"/>
  <c r="AJ32" i="181"/>
  <c r="T32" i="181"/>
  <c r="S32" i="181"/>
  <c r="R32" i="181"/>
  <c r="AJ31" i="181"/>
  <c r="T31" i="181"/>
  <c r="S31" i="181"/>
  <c r="R31" i="181"/>
  <c r="AJ30" i="181"/>
  <c r="T30" i="181"/>
  <c r="S30" i="181"/>
  <c r="R30" i="181"/>
  <c r="AJ29" i="181"/>
  <c r="T29" i="181"/>
  <c r="S29" i="181"/>
  <c r="R29" i="181"/>
  <c r="AJ28" i="181"/>
  <c r="T28" i="181"/>
  <c r="S28" i="181"/>
  <c r="R28" i="181"/>
  <c r="AJ27" i="181"/>
  <c r="T27" i="181"/>
  <c r="S27" i="181"/>
  <c r="R27" i="181"/>
  <c r="AJ26" i="181"/>
  <c r="T26" i="181"/>
  <c r="S26" i="181"/>
  <c r="R26" i="181"/>
  <c r="AJ25" i="181"/>
  <c r="T25" i="181"/>
  <c r="S25" i="181"/>
  <c r="R25" i="181"/>
  <c r="AJ24" i="181"/>
  <c r="T24" i="181"/>
  <c r="S24" i="181"/>
  <c r="R24" i="181"/>
  <c r="AJ23" i="181"/>
  <c r="T23" i="181"/>
  <c r="S23" i="181"/>
  <c r="R23" i="181"/>
  <c r="AJ22" i="181"/>
  <c r="T22" i="181"/>
  <c r="S22" i="181"/>
  <c r="R22" i="181"/>
  <c r="AJ21" i="181"/>
  <c r="T21" i="181"/>
  <c r="S21" i="181"/>
  <c r="R21" i="181"/>
  <c r="AJ20" i="181"/>
  <c r="T20" i="181"/>
  <c r="S20" i="181"/>
  <c r="R20" i="181"/>
  <c r="AJ19" i="181"/>
  <c r="T19" i="181"/>
  <c r="S19" i="181"/>
  <c r="R19" i="181"/>
  <c r="AJ18" i="181"/>
  <c r="T18" i="181"/>
  <c r="S18" i="181"/>
  <c r="R18" i="181"/>
  <c r="AJ17" i="181"/>
  <c r="T17" i="181"/>
  <c r="S17" i="181"/>
  <c r="AJ16" i="181"/>
  <c r="T16" i="181"/>
  <c r="S16" i="181"/>
  <c r="R16" i="181"/>
  <c r="AJ15" i="181"/>
  <c r="T15" i="181"/>
  <c r="S15" i="181"/>
  <c r="R15" i="181"/>
  <c r="AJ14" i="181"/>
  <c r="T14" i="181"/>
  <c r="S14" i="181"/>
  <c r="R14" i="181"/>
  <c r="AJ13" i="181"/>
  <c r="T13" i="181"/>
  <c r="S13" i="181"/>
  <c r="R13" i="181"/>
  <c r="W171" i="178" l="1"/>
  <c r="W159" i="178"/>
  <c r="W147" i="178"/>
  <c r="W135" i="178"/>
  <c r="W123" i="178"/>
  <c r="W45" i="177"/>
  <c r="W43" i="177"/>
  <c r="W5" i="177"/>
  <c r="W4" i="177"/>
  <c r="W3" i="177"/>
  <c r="C44" i="177"/>
  <c r="W44" i="177" s="1"/>
  <c r="W41" i="176"/>
  <c r="W40" i="176"/>
  <c r="W39" i="176"/>
  <c r="W17" i="176"/>
  <c r="W16" i="176"/>
  <c r="W15" i="176"/>
  <c r="W1069" i="174"/>
  <c r="W1057" i="174"/>
  <c r="W1045" i="174"/>
  <c r="W1033" i="174"/>
  <c r="W1021" i="174"/>
  <c r="W1009" i="174"/>
  <c r="AJ47" i="179" l="1"/>
  <c r="T47" i="179"/>
  <c r="S47" i="179"/>
  <c r="R47" i="179"/>
  <c r="AJ46" i="179"/>
  <c r="T46" i="179"/>
  <c r="S46" i="179"/>
  <c r="R46" i="179"/>
  <c r="AJ45" i="179"/>
  <c r="T45" i="179"/>
  <c r="S45" i="179"/>
  <c r="R45" i="179"/>
  <c r="AJ44" i="179"/>
  <c r="T44" i="179"/>
  <c r="S44" i="179"/>
  <c r="R44" i="179"/>
  <c r="AJ43" i="179"/>
  <c r="T43" i="179"/>
  <c r="S43" i="179"/>
  <c r="R43" i="179"/>
  <c r="AJ42" i="179"/>
  <c r="T42" i="179"/>
  <c r="S42" i="179"/>
  <c r="R42" i="179"/>
  <c r="AJ41" i="179"/>
  <c r="T41" i="179"/>
  <c r="S41" i="179"/>
  <c r="R41" i="179"/>
  <c r="AJ40" i="179"/>
  <c r="T40" i="179"/>
  <c r="S40" i="179"/>
  <c r="R40" i="179"/>
  <c r="AJ39" i="179"/>
  <c r="T39" i="179"/>
  <c r="S39" i="179"/>
  <c r="R39" i="179"/>
  <c r="AJ38" i="179"/>
  <c r="T38" i="179"/>
  <c r="S38" i="179"/>
  <c r="R38" i="179"/>
  <c r="AJ37" i="179"/>
  <c r="T37" i="179"/>
  <c r="S37" i="179"/>
  <c r="R37" i="179"/>
  <c r="AJ36" i="179"/>
  <c r="T36" i="179"/>
  <c r="S36" i="179"/>
  <c r="R36" i="179"/>
  <c r="AJ35" i="179"/>
  <c r="T35" i="179"/>
  <c r="S35" i="179"/>
  <c r="R35" i="179"/>
  <c r="AJ34" i="179"/>
  <c r="T34" i="179"/>
  <c r="S34" i="179"/>
  <c r="R34" i="179"/>
  <c r="AJ33" i="179"/>
  <c r="T33" i="179"/>
  <c r="S33" i="179"/>
  <c r="R33" i="179"/>
  <c r="AJ32" i="179"/>
  <c r="T32" i="179"/>
  <c r="S32" i="179"/>
  <c r="R32" i="179"/>
  <c r="AJ31" i="179"/>
  <c r="T31" i="179"/>
  <c r="S31" i="179"/>
  <c r="R31" i="179"/>
  <c r="AJ30" i="179"/>
  <c r="T30" i="179"/>
  <c r="S30" i="179"/>
  <c r="R30" i="179"/>
  <c r="AJ29" i="179"/>
  <c r="T29" i="179"/>
  <c r="S29" i="179"/>
  <c r="R29" i="179"/>
  <c r="AJ28" i="179"/>
  <c r="T28" i="179"/>
  <c r="S28" i="179"/>
  <c r="R28" i="179"/>
  <c r="AJ27" i="179"/>
  <c r="T27" i="179"/>
  <c r="S27" i="179"/>
  <c r="R27" i="179"/>
  <c r="AJ26" i="179"/>
  <c r="T26" i="179"/>
  <c r="S26" i="179"/>
  <c r="R26" i="179"/>
  <c r="AJ25" i="179"/>
  <c r="T25" i="179"/>
  <c r="S25" i="179"/>
  <c r="R25" i="179"/>
  <c r="AJ24" i="179"/>
  <c r="T24" i="179"/>
  <c r="S24" i="179"/>
  <c r="R24" i="179"/>
  <c r="AJ23" i="179"/>
  <c r="T23" i="179"/>
  <c r="S23" i="179"/>
  <c r="R23" i="179"/>
  <c r="AJ22" i="179"/>
  <c r="T22" i="179"/>
  <c r="S22" i="179"/>
  <c r="R22" i="179"/>
  <c r="AJ21" i="179"/>
  <c r="T21" i="179"/>
  <c r="S21" i="179"/>
  <c r="R21" i="179"/>
  <c r="AJ20" i="179"/>
  <c r="T20" i="179"/>
  <c r="S20" i="179"/>
  <c r="R20" i="179"/>
  <c r="AJ19" i="179"/>
  <c r="T19" i="179"/>
  <c r="S19" i="179"/>
  <c r="R19" i="179"/>
  <c r="AJ18" i="179"/>
  <c r="T18" i="179"/>
  <c r="S18" i="179"/>
  <c r="R18" i="179"/>
  <c r="AJ17" i="179"/>
  <c r="T17" i="179"/>
  <c r="S17" i="179"/>
  <c r="AJ16" i="179"/>
  <c r="T16" i="179"/>
  <c r="S16" i="179"/>
  <c r="R16" i="179"/>
  <c r="AJ15" i="179"/>
  <c r="T15" i="179"/>
  <c r="S15" i="179"/>
  <c r="R15" i="179"/>
  <c r="AJ14" i="179"/>
  <c r="T14" i="179"/>
  <c r="S14" i="179"/>
  <c r="R14" i="179"/>
  <c r="AJ13" i="179"/>
  <c r="T13" i="179"/>
  <c r="S13" i="179"/>
  <c r="R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B149" i="25" l="1"/>
  <c r="A149" i="25"/>
  <c r="A100" i="25"/>
  <c r="B151" i="25"/>
  <c r="B186" i="25"/>
  <c r="A186" i="25"/>
  <c r="B187" i="25"/>
  <c r="B185" i="25"/>
  <c r="O185" i="25" s="1"/>
  <c r="B184" i="25"/>
  <c r="O184" i="25" s="1"/>
  <c r="B183" i="25"/>
  <c r="O183" i="25" s="1"/>
  <c r="B154" i="25"/>
  <c r="O154" i="25" s="1"/>
  <c r="B150" i="25"/>
  <c r="O150" i="25" s="1"/>
  <c r="B147" i="25"/>
  <c r="O147" i="25" s="1"/>
  <c r="B106" i="25"/>
  <c r="B105" i="25"/>
  <c r="B104" i="25"/>
  <c r="B103" i="25"/>
  <c r="B102" i="25"/>
  <c r="AE186" i="25"/>
  <c r="AM149" i="25"/>
  <c r="AM151" i="25"/>
  <c r="AM100" i="25"/>
  <c r="AM186" i="25"/>
  <c r="O186" i="25" l="1"/>
  <c r="BK186" i="25" s="1"/>
  <c r="O151" i="25"/>
  <c r="BK151" i="25" s="1"/>
  <c r="O149" i="25"/>
  <c r="BK149" i="25" s="1"/>
  <c r="BK100" i="25"/>
  <c r="G14" i="188"/>
  <c r="Q14" i="188" s="1"/>
  <c r="B14" i="188"/>
  <c r="P14" i="188" s="1"/>
  <c r="G15" i="190"/>
  <c r="Q15" i="190" s="1"/>
  <c r="B15" i="190"/>
  <c r="P15" i="190" s="1"/>
  <c r="G31" i="196" l="1"/>
  <c r="Q31" i="196" s="1"/>
  <c r="B31" i="196"/>
  <c r="P31" i="196" s="1"/>
  <c r="G30" i="196"/>
  <c r="Q30" i="196" s="1"/>
  <c r="B30" i="196"/>
  <c r="P30" i="196" s="1"/>
  <c r="G29" i="196"/>
  <c r="Q29" i="196" s="1"/>
  <c r="B29" i="196"/>
  <c r="P29" i="196" s="1"/>
  <c r="G28" i="196"/>
  <c r="Q28" i="196" s="1"/>
  <c r="B28" i="196"/>
  <c r="P28" i="196" s="1"/>
  <c r="G27" i="196"/>
  <c r="Q27" i="196" s="1"/>
  <c r="B27" i="196"/>
  <c r="P27" i="196" s="1"/>
  <c r="G26" i="196"/>
  <c r="Q26" i="196" s="1"/>
  <c r="B26" i="196"/>
  <c r="P26" i="196" s="1"/>
  <c r="G25" i="196"/>
  <c r="Q25" i="196" s="1"/>
  <c r="B25" i="196"/>
  <c r="P25" i="196" s="1"/>
  <c r="G24" i="196"/>
  <c r="Q24" i="196" s="1"/>
  <c r="B24" i="196"/>
  <c r="P24" i="196" s="1"/>
  <c r="G23" i="196"/>
  <c r="B23" i="196"/>
  <c r="P23" i="196" s="1"/>
  <c r="G22" i="196"/>
  <c r="B22" i="196"/>
  <c r="P22" i="196" s="1"/>
  <c r="G21" i="196"/>
  <c r="Q21" i="196" s="1"/>
  <c r="B21" i="196"/>
  <c r="P21" i="196" s="1"/>
  <c r="G20" i="196"/>
  <c r="Q20" i="196" s="1"/>
  <c r="B20" i="196"/>
  <c r="P20" i="196" s="1"/>
  <c r="G19" i="196"/>
  <c r="Q19" i="196" s="1"/>
  <c r="B19" i="196"/>
  <c r="P19" i="196" s="1"/>
  <c r="G18" i="196"/>
  <c r="Q18" i="196" s="1"/>
  <c r="B18" i="196"/>
  <c r="P18" i="196" s="1"/>
  <c r="G17" i="196"/>
  <c r="B17" i="196"/>
  <c r="P17" i="196" s="1"/>
  <c r="G16" i="196"/>
  <c r="Q16" i="196" s="1"/>
  <c r="B16" i="196"/>
  <c r="P16" i="196" s="1"/>
  <c r="G15" i="196"/>
  <c r="Q15" i="196" s="1"/>
  <c r="B15" i="196"/>
  <c r="P15" i="196" s="1"/>
  <c r="G14" i="196"/>
  <c r="Q14" i="196" s="1"/>
  <c r="B14" i="196"/>
  <c r="P14" i="196" s="1"/>
  <c r="G13" i="196"/>
  <c r="Q13" i="196" s="1"/>
  <c r="B13" i="196"/>
  <c r="P13" i="196" s="1"/>
  <c r="G31" i="195"/>
  <c r="Q31" i="195" s="1"/>
  <c r="B31" i="195"/>
  <c r="P31" i="195" s="1"/>
  <c r="G30" i="195"/>
  <c r="Q30" i="195" s="1"/>
  <c r="B30" i="195"/>
  <c r="P30" i="195" s="1"/>
  <c r="G29" i="195"/>
  <c r="Q29" i="195" s="1"/>
  <c r="B29" i="195"/>
  <c r="P29" i="195" s="1"/>
  <c r="G28" i="195"/>
  <c r="Q28" i="195" s="1"/>
  <c r="B28" i="195"/>
  <c r="P28" i="195" s="1"/>
  <c r="G27" i="195"/>
  <c r="Q27" i="195" s="1"/>
  <c r="B27" i="195"/>
  <c r="P27" i="195" s="1"/>
  <c r="G26" i="195"/>
  <c r="Q26" i="195" s="1"/>
  <c r="B26" i="195"/>
  <c r="P26" i="195" s="1"/>
  <c r="G25" i="195"/>
  <c r="Q25" i="195" s="1"/>
  <c r="B25" i="195"/>
  <c r="P25" i="195" s="1"/>
  <c r="G24" i="195"/>
  <c r="Q24" i="195" s="1"/>
  <c r="B24" i="195"/>
  <c r="P24" i="195" s="1"/>
  <c r="G23" i="195"/>
  <c r="B23" i="195"/>
  <c r="P23" i="195" s="1"/>
  <c r="G22" i="195"/>
  <c r="B22" i="195"/>
  <c r="P22" i="195" s="1"/>
  <c r="G21" i="195"/>
  <c r="Q21" i="195" s="1"/>
  <c r="B21" i="195"/>
  <c r="P21" i="195" s="1"/>
  <c r="G20" i="195"/>
  <c r="Q20" i="195" s="1"/>
  <c r="B20" i="195"/>
  <c r="P20" i="195" s="1"/>
  <c r="G19" i="195"/>
  <c r="Q19" i="195" s="1"/>
  <c r="B19" i="195"/>
  <c r="P19" i="195" s="1"/>
  <c r="G18" i="195"/>
  <c r="Q18" i="195" s="1"/>
  <c r="B18" i="195"/>
  <c r="P18" i="195" s="1"/>
  <c r="G17" i="195"/>
  <c r="B17" i="195"/>
  <c r="P17" i="195" s="1"/>
  <c r="G16" i="195"/>
  <c r="Q16" i="195" s="1"/>
  <c r="B16" i="195"/>
  <c r="P16" i="195" s="1"/>
  <c r="G15" i="195"/>
  <c r="Q15" i="195" s="1"/>
  <c r="B15" i="195"/>
  <c r="P15" i="195" s="1"/>
  <c r="G14" i="195"/>
  <c r="Q14" i="195" s="1"/>
  <c r="B14" i="195"/>
  <c r="P14" i="195" s="1"/>
  <c r="G13" i="195"/>
  <c r="Q13" i="195" s="1"/>
  <c r="B13" i="195"/>
  <c r="P13" i="195" s="1"/>
  <c r="G155" i="194"/>
  <c r="Q155" i="194" s="1"/>
  <c r="B155" i="194"/>
  <c r="P155" i="194" s="1"/>
  <c r="G154" i="194"/>
  <c r="Q154" i="194" s="1"/>
  <c r="B154" i="194"/>
  <c r="P154" i="194" s="1"/>
  <c r="G153" i="194"/>
  <c r="Q153" i="194" s="1"/>
  <c r="B153" i="194"/>
  <c r="P153" i="194" s="1"/>
  <c r="G152" i="194"/>
  <c r="Q152" i="194" s="1"/>
  <c r="B152" i="194"/>
  <c r="P152" i="194" s="1"/>
  <c r="G151" i="194"/>
  <c r="Q151" i="194" s="1"/>
  <c r="B151" i="194"/>
  <c r="P151" i="194" s="1"/>
  <c r="G150" i="194"/>
  <c r="Q150" i="194" s="1"/>
  <c r="B150" i="194"/>
  <c r="P150" i="194" s="1"/>
  <c r="G149" i="194"/>
  <c r="Q149" i="194" s="1"/>
  <c r="B149" i="194"/>
  <c r="P149" i="194" s="1"/>
  <c r="G148" i="194"/>
  <c r="Q148" i="194" s="1"/>
  <c r="B148" i="194"/>
  <c r="P148" i="194" s="1"/>
  <c r="G147" i="194"/>
  <c r="Q147" i="194" s="1"/>
  <c r="B147" i="194"/>
  <c r="P147" i="194" s="1"/>
  <c r="G146" i="194"/>
  <c r="Q146" i="194" s="1"/>
  <c r="B146" i="194"/>
  <c r="P146" i="194" s="1"/>
  <c r="G145" i="194"/>
  <c r="Q145" i="194" s="1"/>
  <c r="B145" i="194"/>
  <c r="P145" i="194" s="1"/>
  <c r="G144" i="194"/>
  <c r="Q144" i="194" s="1"/>
  <c r="B144" i="194"/>
  <c r="P144" i="194" s="1"/>
  <c r="G143" i="194"/>
  <c r="Q143" i="194" s="1"/>
  <c r="B143" i="194"/>
  <c r="P143" i="194" s="1"/>
  <c r="G142" i="194"/>
  <c r="Q142" i="194" s="1"/>
  <c r="B142" i="194"/>
  <c r="P142" i="194" s="1"/>
  <c r="G141" i="194"/>
  <c r="Q141" i="194" s="1"/>
  <c r="B141" i="194"/>
  <c r="P141" i="194" s="1"/>
  <c r="G140" i="194"/>
  <c r="Q140" i="194" s="1"/>
  <c r="B140" i="194"/>
  <c r="P140" i="194" s="1"/>
  <c r="G139" i="194"/>
  <c r="Q139" i="194" s="1"/>
  <c r="B139" i="194"/>
  <c r="P139" i="194" s="1"/>
  <c r="G138" i="194"/>
  <c r="Q138" i="194" s="1"/>
  <c r="B138" i="194"/>
  <c r="P138" i="194" s="1"/>
  <c r="G137" i="194"/>
  <c r="Q137" i="194" s="1"/>
  <c r="B137" i="194"/>
  <c r="P137" i="194" s="1"/>
  <c r="G136" i="194"/>
  <c r="Q136" i="194" s="1"/>
  <c r="B136" i="194"/>
  <c r="P136" i="194" s="1"/>
  <c r="G135" i="194"/>
  <c r="Q135" i="194" s="1"/>
  <c r="B135" i="194"/>
  <c r="P135" i="194" s="1"/>
  <c r="G134" i="194"/>
  <c r="Q134" i="194" s="1"/>
  <c r="B134" i="194"/>
  <c r="P134" i="194" s="1"/>
  <c r="G133" i="194"/>
  <c r="Q133" i="194" s="1"/>
  <c r="B133" i="194"/>
  <c r="P133" i="194" s="1"/>
  <c r="G132" i="194"/>
  <c r="Q132" i="194" s="1"/>
  <c r="B132" i="194"/>
  <c r="P132" i="194" s="1"/>
  <c r="G131" i="194"/>
  <c r="Q131" i="194" s="1"/>
  <c r="B131" i="194"/>
  <c r="P131" i="194" s="1"/>
  <c r="G130" i="194"/>
  <c r="Q130" i="194" s="1"/>
  <c r="B130" i="194"/>
  <c r="P130" i="194" s="1"/>
  <c r="G129" i="194"/>
  <c r="Q129" i="194" s="1"/>
  <c r="B129" i="194"/>
  <c r="P129" i="194" s="1"/>
  <c r="G128" i="194"/>
  <c r="Q128" i="194" s="1"/>
  <c r="B128" i="194"/>
  <c r="P128" i="194" s="1"/>
  <c r="G127" i="194"/>
  <c r="Q127" i="194" s="1"/>
  <c r="B127" i="194"/>
  <c r="P127" i="194" s="1"/>
  <c r="G126" i="194"/>
  <c r="Q126" i="194" s="1"/>
  <c r="B126" i="194"/>
  <c r="P126" i="194" s="1"/>
  <c r="G125" i="194"/>
  <c r="Q125" i="194" s="1"/>
  <c r="B125" i="194"/>
  <c r="P125" i="194" s="1"/>
  <c r="G124" i="194"/>
  <c r="Q124" i="194" s="1"/>
  <c r="B124" i="194"/>
  <c r="P124" i="194" s="1"/>
  <c r="G123" i="194"/>
  <c r="Q123" i="194" s="1"/>
  <c r="B123" i="194"/>
  <c r="P123" i="194" s="1"/>
  <c r="G122" i="194"/>
  <c r="Q122" i="194" s="1"/>
  <c r="B122" i="194"/>
  <c r="P122" i="194" s="1"/>
  <c r="G121" i="194"/>
  <c r="Q121" i="194" s="1"/>
  <c r="B121" i="194"/>
  <c r="P121" i="194" s="1"/>
  <c r="G120" i="194"/>
  <c r="Q120" i="194" s="1"/>
  <c r="B120" i="194"/>
  <c r="P120" i="194" s="1"/>
  <c r="G119" i="194"/>
  <c r="Q119" i="194" s="1"/>
  <c r="B119" i="194"/>
  <c r="P119" i="194" s="1"/>
  <c r="G118" i="194"/>
  <c r="Q118" i="194" s="1"/>
  <c r="B118" i="194"/>
  <c r="P118" i="194" s="1"/>
  <c r="G117" i="194"/>
  <c r="Q117" i="194" s="1"/>
  <c r="B117" i="194"/>
  <c r="P117" i="194" s="1"/>
  <c r="G116" i="194"/>
  <c r="Q116" i="194" s="1"/>
  <c r="B116" i="194"/>
  <c r="P116" i="194" s="1"/>
  <c r="G115" i="194"/>
  <c r="Q115" i="194" s="1"/>
  <c r="B115" i="194"/>
  <c r="P115" i="194" s="1"/>
  <c r="G114" i="194"/>
  <c r="Q114" i="194" s="1"/>
  <c r="B114" i="194"/>
  <c r="P114" i="194" s="1"/>
  <c r="G113" i="194"/>
  <c r="Q113" i="194" s="1"/>
  <c r="B113" i="194"/>
  <c r="P113" i="194" s="1"/>
  <c r="G112" i="194"/>
  <c r="Q112" i="194" s="1"/>
  <c r="B112" i="194"/>
  <c r="P112" i="194" s="1"/>
  <c r="G111" i="194"/>
  <c r="Q111" i="194" s="1"/>
  <c r="B111" i="194"/>
  <c r="P111" i="194" s="1"/>
  <c r="G110" i="194"/>
  <c r="Q110" i="194" s="1"/>
  <c r="B110" i="194"/>
  <c r="P110" i="194" s="1"/>
  <c r="G109" i="194"/>
  <c r="Q109" i="194" s="1"/>
  <c r="B109" i="194"/>
  <c r="P109" i="194" s="1"/>
  <c r="G108" i="194"/>
  <c r="Q108" i="194" s="1"/>
  <c r="B108" i="194"/>
  <c r="P108" i="194" s="1"/>
  <c r="G107" i="194"/>
  <c r="Q107" i="194" s="1"/>
  <c r="B107" i="194"/>
  <c r="P107" i="194" s="1"/>
  <c r="G106" i="194"/>
  <c r="Q106" i="194" s="1"/>
  <c r="B106" i="194"/>
  <c r="P106" i="194" s="1"/>
  <c r="G105" i="194"/>
  <c r="Q105" i="194" s="1"/>
  <c r="B105" i="194"/>
  <c r="P105" i="194" s="1"/>
  <c r="G104" i="194"/>
  <c r="Q104" i="194" s="1"/>
  <c r="B104" i="194"/>
  <c r="P104" i="194" s="1"/>
  <c r="G103" i="194"/>
  <c r="Q103" i="194" s="1"/>
  <c r="B103" i="194"/>
  <c r="P103" i="194" s="1"/>
  <c r="G102" i="194"/>
  <c r="Q102" i="194" s="1"/>
  <c r="B102" i="194"/>
  <c r="P102" i="194" s="1"/>
  <c r="G101" i="194"/>
  <c r="Q101" i="194" s="1"/>
  <c r="B101" i="194"/>
  <c r="P101" i="194" s="1"/>
  <c r="G100" i="194"/>
  <c r="Q100" i="194" s="1"/>
  <c r="B100" i="194"/>
  <c r="P100" i="194" s="1"/>
  <c r="G99" i="194"/>
  <c r="Q99" i="194" s="1"/>
  <c r="B99" i="194"/>
  <c r="P99" i="194" s="1"/>
  <c r="G98" i="194"/>
  <c r="Q98" i="194" s="1"/>
  <c r="B98" i="194"/>
  <c r="P98" i="194" s="1"/>
  <c r="G97" i="194"/>
  <c r="Q97" i="194" s="1"/>
  <c r="B97" i="194"/>
  <c r="P97" i="194" s="1"/>
  <c r="G96" i="194"/>
  <c r="Q96" i="194" s="1"/>
  <c r="B96" i="194"/>
  <c r="P96" i="194" s="1"/>
  <c r="G95" i="194"/>
  <c r="Q95" i="194" s="1"/>
  <c r="B95" i="194"/>
  <c r="P95" i="194" s="1"/>
  <c r="G94" i="194"/>
  <c r="Q94" i="194" s="1"/>
  <c r="B94" i="194"/>
  <c r="P94" i="194" s="1"/>
  <c r="G93" i="194"/>
  <c r="Q93" i="194" s="1"/>
  <c r="B93" i="194"/>
  <c r="P93" i="194" s="1"/>
  <c r="G92" i="194"/>
  <c r="Q92" i="194" s="1"/>
  <c r="B92" i="194"/>
  <c r="P92" i="194" s="1"/>
  <c r="G91" i="194"/>
  <c r="Q91" i="194" s="1"/>
  <c r="B91" i="194"/>
  <c r="P91" i="194" s="1"/>
  <c r="G90" i="194"/>
  <c r="Q90" i="194" s="1"/>
  <c r="B90" i="194"/>
  <c r="P90" i="194" s="1"/>
  <c r="G89" i="194"/>
  <c r="Q89" i="194" s="1"/>
  <c r="B89" i="194"/>
  <c r="P89" i="194" s="1"/>
  <c r="G88" i="194"/>
  <c r="Q88" i="194" s="1"/>
  <c r="B88" i="194"/>
  <c r="P88" i="194" s="1"/>
  <c r="G87" i="194"/>
  <c r="Q87" i="194" s="1"/>
  <c r="B87" i="194"/>
  <c r="P87" i="194" s="1"/>
  <c r="G86" i="194"/>
  <c r="Q86" i="194" s="1"/>
  <c r="B86" i="194"/>
  <c r="P86" i="194" s="1"/>
  <c r="G85" i="194"/>
  <c r="Q85" i="194" s="1"/>
  <c r="B85" i="194"/>
  <c r="P85" i="194" s="1"/>
  <c r="G84" i="194"/>
  <c r="Q84" i="194" s="1"/>
  <c r="B84" i="194"/>
  <c r="P84" i="194" s="1"/>
  <c r="G83" i="194"/>
  <c r="Q83" i="194" s="1"/>
  <c r="B83" i="194"/>
  <c r="P83" i="194" s="1"/>
  <c r="G82" i="194"/>
  <c r="Q82" i="194" s="1"/>
  <c r="B82" i="194"/>
  <c r="P82" i="194" s="1"/>
  <c r="G81" i="194"/>
  <c r="Q81" i="194" s="1"/>
  <c r="B81" i="194"/>
  <c r="P81" i="194" s="1"/>
  <c r="G80" i="194"/>
  <c r="Q80" i="194" s="1"/>
  <c r="B80" i="194"/>
  <c r="P80" i="194" s="1"/>
  <c r="G79" i="194"/>
  <c r="Q79" i="194" s="1"/>
  <c r="B79" i="194"/>
  <c r="P79" i="194" s="1"/>
  <c r="G78" i="194"/>
  <c r="Q78" i="194" s="1"/>
  <c r="B78" i="194"/>
  <c r="P78" i="194" s="1"/>
  <c r="G77" i="194"/>
  <c r="Q77" i="194" s="1"/>
  <c r="B77" i="194"/>
  <c r="P77" i="194" s="1"/>
  <c r="G76" i="194"/>
  <c r="Q76" i="194" s="1"/>
  <c r="B76" i="194"/>
  <c r="P76" i="194" s="1"/>
  <c r="G75" i="194"/>
  <c r="Q75" i="194" s="1"/>
  <c r="B75" i="194"/>
  <c r="P75" i="194" s="1"/>
  <c r="G74" i="194"/>
  <c r="Q74" i="194" s="1"/>
  <c r="B74" i="194"/>
  <c r="P74" i="194" s="1"/>
  <c r="G73" i="194"/>
  <c r="Q73" i="194" s="1"/>
  <c r="B73" i="194"/>
  <c r="P73" i="194" s="1"/>
  <c r="G72" i="194"/>
  <c r="Q72" i="194" s="1"/>
  <c r="B72" i="194"/>
  <c r="P72" i="194" s="1"/>
  <c r="G71" i="194"/>
  <c r="Q71" i="194" s="1"/>
  <c r="B71" i="194"/>
  <c r="P71" i="194" s="1"/>
  <c r="G70" i="194"/>
  <c r="Q70" i="194" s="1"/>
  <c r="B70" i="194"/>
  <c r="P70" i="194" s="1"/>
  <c r="G69" i="194"/>
  <c r="Q69" i="194" s="1"/>
  <c r="B69" i="194"/>
  <c r="P69" i="194" s="1"/>
  <c r="G68" i="194"/>
  <c r="Q68" i="194" s="1"/>
  <c r="B68" i="194"/>
  <c r="P68" i="194" s="1"/>
  <c r="G67" i="194"/>
  <c r="Q67" i="194" s="1"/>
  <c r="B67" i="194"/>
  <c r="P67" i="194" s="1"/>
  <c r="G66" i="194"/>
  <c r="Q66" i="194" s="1"/>
  <c r="B66" i="194"/>
  <c r="P66" i="194" s="1"/>
  <c r="G65" i="194"/>
  <c r="Q65" i="194" s="1"/>
  <c r="B65" i="194"/>
  <c r="P65" i="194" s="1"/>
  <c r="G64" i="194"/>
  <c r="Q64" i="194" s="1"/>
  <c r="B64" i="194"/>
  <c r="P64" i="194" s="1"/>
  <c r="G63" i="194"/>
  <c r="Q63" i="194" s="1"/>
  <c r="B63" i="194"/>
  <c r="P63" i="194" s="1"/>
  <c r="G62" i="194"/>
  <c r="Q62" i="194" s="1"/>
  <c r="B62" i="194"/>
  <c r="P62" i="194" s="1"/>
  <c r="G61" i="194"/>
  <c r="Q61" i="194" s="1"/>
  <c r="B61" i="194"/>
  <c r="P61" i="194" s="1"/>
  <c r="G60" i="194"/>
  <c r="Q60" i="194" s="1"/>
  <c r="B60" i="194"/>
  <c r="P60" i="194" s="1"/>
  <c r="G59" i="194"/>
  <c r="Q59" i="194" s="1"/>
  <c r="B59" i="194"/>
  <c r="P59" i="194" s="1"/>
  <c r="G58" i="194"/>
  <c r="Q58" i="194" s="1"/>
  <c r="B58" i="194"/>
  <c r="P58" i="194" s="1"/>
  <c r="G57" i="194"/>
  <c r="Q57" i="194" s="1"/>
  <c r="B57" i="194"/>
  <c r="P57" i="194" s="1"/>
  <c r="G56" i="194"/>
  <c r="Q56" i="194" s="1"/>
  <c r="B56" i="194"/>
  <c r="P56" i="194" s="1"/>
  <c r="G55" i="194"/>
  <c r="Q55" i="194" s="1"/>
  <c r="B55" i="194"/>
  <c r="P55" i="194" s="1"/>
  <c r="G54" i="194"/>
  <c r="Q54" i="194" s="1"/>
  <c r="B54" i="194"/>
  <c r="P54" i="194" s="1"/>
  <c r="G53" i="194"/>
  <c r="Q53" i="194" s="1"/>
  <c r="B53" i="194"/>
  <c r="P53" i="194" s="1"/>
  <c r="G52" i="194"/>
  <c r="Q52" i="194" s="1"/>
  <c r="B52" i="194"/>
  <c r="P52" i="194" s="1"/>
  <c r="G51" i="194"/>
  <c r="Q51" i="194" s="1"/>
  <c r="B51" i="194"/>
  <c r="P51" i="194" s="1"/>
  <c r="G50" i="194"/>
  <c r="Q50" i="194" s="1"/>
  <c r="B50" i="194"/>
  <c r="P50" i="194" s="1"/>
  <c r="G49" i="194"/>
  <c r="Q49" i="194" s="1"/>
  <c r="B49" i="194"/>
  <c r="P49" i="194" s="1"/>
  <c r="G48" i="194"/>
  <c r="Q48" i="194" s="1"/>
  <c r="B48" i="194"/>
  <c r="P48" i="194" s="1"/>
  <c r="G47" i="194"/>
  <c r="Q47" i="194" s="1"/>
  <c r="B47" i="194"/>
  <c r="P47" i="194" s="1"/>
  <c r="G46" i="194"/>
  <c r="Q46" i="194" s="1"/>
  <c r="B46" i="194"/>
  <c r="P46" i="194" s="1"/>
  <c r="G45" i="194"/>
  <c r="Q45" i="194" s="1"/>
  <c r="B45" i="194"/>
  <c r="P45" i="194" s="1"/>
  <c r="G44" i="194"/>
  <c r="Q44" i="194" s="1"/>
  <c r="B44" i="194"/>
  <c r="P44" i="194" s="1"/>
  <c r="G43" i="194"/>
  <c r="Q43" i="194" s="1"/>
  <c r="B43" i="194"/>
  <c r="P43" i="194" s="1"/>
  <c r="G42" i="194"/>
  <c r="Q42" i="194" s="1"/>
  <c r="B42" i="194"/>
  <c r="P42" i="194" s="1"/>
  <c r="G41" i="194"/>
  <c r="Q41" i="194" s="1"/>
  <c r="B41" i="194"/>
  <c r="P41" i="194" s="1"/>
  <c r="G40" i="194"/>
  <c r="Q40" i="194" s="1"/>
  <c r="B40" i="194"/>
  <c r="P40" i="194" s="1"/>
  <c r="G39" i="194"/>
  <c r="Q39" i="194" s="1"/>
  <c r="B39" i="194"/>
  <c r="P39" i="194" s="1"/>
  <c r="G38" i="194"/>
  <c r="Q38" i="194" s="1"/>
  <c r="B38" i="194"/>
  <c r="P38" i="194" s="1"/>
  <c r="G37" i="194"/>
  <c r="Q37" i="194" s="1"/>
  <c r="B37" i="194"/>
  <c r="P37" i="194" s="1"/>
  <c r="G36" i="194"/>
  <c r="Q36" i="194" s="1"/>
  <c r="B36" i="194"/>
  <c r="P36" i="194" s="1"/>
  <c r="G35" i="194"/>
  <c r="Q35" i="194" s="1"/>
  <c r="B35" i="194"/>
  <c r="P35" i="194" s="1"/>
  <c r="G34" i="194"/>
  <c r="Q34" i="194" s="1"/>
  <c r="B34" i="194"/>
  <c r="P34" i="194" s="1"/>
  <c r="G33" i="194"/>
  <c r="Q33" i="194" s="1"/>
  <c r="B33" i="194"/>
  <c r="P33" i="194" s="1"/>
  <c r="G32" i="194"/>
  <c r="Q32" i="194" s="1"/>
  <c r="B32" i="194"/>
  <c r="P32" i="194" s="1"/>
  <c r="G31" i="194"/>
  <c r="Q31" i="194" s="1"/>
  <c r="B31" i="194"/>
  <c r="P31" i="194" s="1"/>
  <c r="G30" i="194"/>
  <c r="Q30" i="194" s="1"/>
  <c r="B30" i="194"/>
  <c r="P30" i="194" s="1"/>
  <c r="G29" i="194"/>
  <c r="Q29" i="194" s="1"/>
  <c r="B29" i="194"/>
  <c r="P29" i="194" s="1"/>
  <c r="G28" i="194"/>
  <c r="Q28" i="194" s="1"/>
  <c r="B28" i="194"/>
  <c r="P28" i="194" s="1"/>
  <c r="G27" i="194"/>
  <c r="Q27" i="194" s="1"/>
  <c r="B27" i="194"/>
  <c r="P27" i="194" s="1"/>
  <c r="G26" i="194"/>
  <c r="Q26" i="194" s="1"/>
  <c r="B26" i="194"/>
  <c r="P26" i="194" s="1"/>
  <c r="G25" i="194"/>
  <c r="Q25" i="194" s="1"/>
  <c r="B25" i="194"/>
  <c r="P25" i="194" s="1"/>
  <c r="G24" i="194"/>
  <c r="Q24" i="194" s="1"/>
  <c r="B24" i="194"/>
  <c r="P24" i="194" s="1"/>
  <c r="G23" i="194"/>
  <c r="B23" i="194"/>
  <c r="P23" i="194" s="1"/>
  <c r="G22" i="194"/>
  <c r="B22" i="194"/>
  <c r="P22" i="194" s="1"/>
  <c r="G21" i="194"/>
  <c r="Q21" i="194" s="1"/>
  <c r="B21" i="194"/>
  <c r="P21" i="194" s="1"/>
  <c r="G20" i="194"/>
  <c r="Q20" i="194" s="1"/>
  <c r="B20" i="194"/>
  <c r="P20" i="194" s="1"/>
  <c r="G19" i="194"/>
  <c r="Q19" i="194" s="1"/>
  <c r="B19" i="194"/>
  <c r="P19" i="194" s="1"/>
  <c r="G18" i="194"/>
  <c r="Q18" i="194" s="1"/>
  <c r="B18" i="194"/>
  <c r="P18" i="194" s="1"/>
  <c r="G17" i="194"/>
  <c r="B17" i="194"/>
  <c r="P17" i="194" s="1"/>
  <c r="G16" i="194"/>
  <c r="Q16" i="194" s="1"/>
  <c r="B16" i="194"/>
  <c r="P16" i="194" s="1"/>
  <c r="G15" i="194"/>
  <c r="Q15" i="194" s="1"/>
  <c r="B15" i="194"/>
  <c r="P15" i="194" s="1"/>
  <c r="G14" i="194"/>
  <c r="Q14" i="194" s="1"/>
  <c r="B14" i="194"/>
  <c r="P14" i="194" s="1"/>
  <c r="G13" i="194"/>
  <c r="Q13" i="194" s="1"/>
  <c r="B13" i="194"/>
  <c r="P13" i="194" s="1"/>
  <c r="G47" i="193"/>
  <c r="Q47" i="193" s="1"/>
  <c r="B47" i="193"/>
  <c r="P47" i="193" s="1"/>
  <c r="G46" i="193"/>
  <c r="Q46" i="193" s="1"/>
  <c r="B46" i="193"/>
  <c r="P46" i="193" s="1"/>
  <c r="G45" i="193"/>
  <c r="Q45" i="193" s="1"/>
  <c r="B45" i="193"/>
  <c r="P45" i="193" s="1"/>
  <c r="G44" i="193"/>
  <c r="Q44" i="193" s="1"/>
  <c r="B44" i="193"/>
  <c r="P44" i="193" s="1"/>
  <c r="G43" i="193"/>
  <c r="Q43" i="193" s="1"/>
  <c r="B43" i="193"/>
  <c r="P43" i="193" s="1"/>
  <c r="G42" i="193"/>
  <c r="Q42" i="193" s="1"/>
  <c r="B42" i="193"/>
  <c r="P42" i="193" s="1"/>
  <c r="G41" i="193"/>
  <c r="Q41" i="193" s="1"/>
  <c r="B41" i="193"/>
  <c r="P41" i="193" s="1"/>
  <c r="G40" i="193"/>
  <c r="Q40" i="193" s="1"/>
  <c r="B40" i="193"/>
  <c r="P40" i="193" s="1"/>
  <c r="G39" i="193"/>
  <c r="Q39" i="193" s="1"/>
  <c r="B39" i="193"/>
  <c r="P39" i="193" s="1"/>
  <c r="G38" i="193"/>
  <c r="Q38" i="193" s="1"/>
  <c r="B38" i="193"/>
  <c r="P38" i="193" s="1"/>
  <c r="G37" i="193"/>
  <c r="Q37" i="193" s="1"/>
  <c r="B37" i="193"/>
  <c r="P37" i="193" s="1"/>
  <c r="G36" i="193"/>
  <c r="Q36" i="193" s="1"/>
  <c r="B36" i="193"/>
  <c r="P36" i="193" s="1"/>
  <c r="G35" i="193"/>
  <c r="Q35" i="193" s="1"/>
  <c r="B35" i="193"/>
  <c r="P35" i="193" s="1"/>
  <c r="G34" i="193"/>
  <c r="Q34" i="193" s="1"/>
  <c r="B34" i="193"/>
  <c r="P34" i="193" s="1"/>
  <c r="G33" i="193"/>
  <c r="Q33" i="193" s="1"/>
  <c r="B33" i="193"/>
  <c r="P33" i="193" s="1"/>
  <c r="G32" i="193"/>
  <c r="Q32" i="193" s="1"/>
  <c r="B32" i="193"/>
  <c r="P32" i="193" s="1"/>
  <c r="G31" i="193"/>
  <c r="Q31" i="193" s="1"/>
  <c r="B31" i="193"/>
  <c r="P31" i="193" s="1"/>
  <c r="G30" i="193"/>
  <c r="Q30" i="193" s="1"/>
  <c r="B30" i="193"/>
  <c r="P30" i="193" s="1"/>
  <c r="G29" i="193"/>
  <c r="Q29" i="193" s="1"/>
  <c r="B29" i="193"/>
  <c r="P29" i="193" s="1"/>
  <c r="G28" i="193"/>
  <c r="Q28" i="193" s="1"/>
  <c r="B28" i="193"/>
  <c r="P28" i="193" s="1"/>
  <c r="G27" i="193"/>
  <c r="Q27" i="193" s="1"/>
  <c r="B27" i="193"/>
  <c r="P27" i="193" s="1"/>
  <c r="G26" i="193"/>
  <c r="Q26" i="193" s="1"/>
  <c r="B26" i="193"/>
  <c r="P26" i="193" s="1"/>
  <c r="G25" i="193"/>
  <c r="Q25" i="193" s="1"/>
  <c r="B25" i="193"/>
  <c r="P25" i="193" s="1"/>
  <c r="G24" i="193"/>
  <c r="Q24" i="193" s="1"/>
  <c r="B24" i="193"/>
  <c r="P24" i="193" s="1"/>
  <c r="G23" i="193"/>
  <c r="Q23" i="193" s="1"/>
  <c r="B23" i="193"/>
  <c r="P23" i="193" s="1"/>
  <c r="G22" i="193"/>
  <c r="Q22" i="193" s="1"/>
  <c r="B22" i="193"/>
  <c r="P22" i="193" s="1"/>
  <c r="G21" i="193"/>
  <c r="Q21" i="193" s="1"/>
  <c r="B21" i="193"/>
  <c r="P21" i="193" s="1"/>
  <c r="G20" i="193"/>
  <c r="Q20" i="193" s="1"/>
  <c r="B20" i="193"/>
  <c r="P20" i="193" s="1"/>
  <c r="G19" i="193"/>
  <c r="Q19" i="193" s="1"/>
  <c r="B19" i="193"/>
  <c r="P19" i="193" s="1"/>
  <c r="G18" i="193"/>
  <c r="Q18" i="193" s="1"/>
  <c r="B18" i="193"/>
  <c r="P18" i="193" s="1"/>
  <c r="G17" i="193"/>
  <c r="B17" i="193"/>
  <c r="P17" i="193" s="1"/>
  <c r="G16" i="193"/>
  <c r="Q16" i="193" s="1"/>
  <c r="B16" i="193"/>
  <c r="P16" i="193" s="1"/>
  <c r="G15" i="193"/>
  <c r="Q15" i="193" s="1"/>
  <c r="B15" i="193"/>
  <c r="P15" i="193" s="1"/>
  <c r="G14" i="193"/>
  <c r="Q14" i="193" s="1"/>
  <c r="B14" i="193"/>
  <c r="P14" i="193" s="1"/>
  <c r="G13" i="193"/>
  <c r="Q13" i="193" s="1"/>
  <c r="B13" i="193"/>
  <c r="P13" i="193" s="1"/>
  <c r="G47" i="192"/>
  <c r="Q47" i="192" s="1"/>
  <c r="B47" i="192"/>
  <c r="P47" i="192" s="1"/>
  <c r="G46" i="192"/>
  <c r="Q46" i="192" s="1"/>
  <c r="B46" i="192"/>
  <c r="P46" i="192" s="1"/>
  <c r="G45" i="192"/>
  <c r="Q45" i="192" s="1"/>
  <c r="B45" i="192"/>
  <c r="P45" i="192" s="1"/>
  <c r="G44" i="192"/>
  <c r="Q44" i="192" s="1"/>
  <c r="B44" i="192"/>
  <c r="P44" i="192" s="1"/>
  <c r="G43" i="192"/>
  <c r="Q43" i="192" s="1"/>
  <c r="B43" i="192"/>
  <c r="P43" i="192" s="1"/>
  <c r="G42" i="192"/>
  <c r="Q42" i="192" s="1"/>
  <c r="B42" i="192"/>
  <c r="P42" i="192" s="1"/>
  <c r="G41" i="192"/>
  <c r="Q41" i="192" s="1"/>
  <c r="B41" i="192"/>
  <c r="P41" i="192" s="1"/>
  <c r="G40" i="192"/>
  <c r="Q40" i="192" s="1"/>
  <c r="B40" i="192"/>
  <c r="P40" i="192" s="1"/>
  <c r="G39" i="192"/>
  <c r="Q39" i="192" s="1"/>
  <c r="B39" i="192"/>
  <c r="P39" i="192" s="1"/>
  <c r="G38" i="192"/>
  <c r="Q38" i="192" s="1"/>
  <c r="B38" i="192"/>
  <c r="P38" i="192" s="1"/>
  <c r="G37" i="192"/>
  <c r="Q37" i="192" s="1"/>
  <c r="B37" i="192"/>
  <c r="P37" i="192" s="1"/>
  <c r="G36" i="192"/>
  <c r="Q36" i="192" s="1"/>
  <c r="B36" i="192"/>
  <c r="P36" i="192" s="1"/>
  <c r="G35" i="192"/>
  <c r="Q35" i="192" s="1"/>
  <c r="B35" i="192"/>
  <c r="P35" i="192" s="1"/>
  <c r="G34" i="192"/>
  <c r="Q34" i="192" s="1"/>
  <c r="B34" i="192"/>
  <c r="P34" i="192" s="1"/>
  <c r="G33" i="192"/>
  <c r="Q33" i="192" s="1"/>
  <c r="B33" i="192"/>
  <c r="P33" i="192" s="1"/>
  <c r="G32" i="192"/>
  <c r="Q32" i="192" s="1"/>
  <c r="B32" i="192"/>
  <c r="P32" i="192" s="1"/>
  <c r="G31" i="192"/>
  <c r="Q31" i="192" s="1"/>
  <c r="B31" i="192"/>
  <c r="P31" i="192" s="1"/>
  <c r="G30" i="192"/>
  <c r="Q30" i="192" s="1"/>
  <c r="B30" i="192"/>
  <c r="P30" i="192" s="1"/>
  <c r="G29" i="192"/>
  <c r="Q29" i="192" s="1"/>
  <c r="B29" i="192"/>
  <c r="P29" i="192" s="1"/>
  <c r="G28" i="192"/>
  <c r="Q28" i="192" s="1"/>
  <c r="B28" i="192"/>
  <c r="P28" i="192" s="1"/>
  <c r="G27" i="192"/>
  <c r="Q27" i="192" s="1"/>
  <c r="B27" i="192"/>
  <c r="P27" i="192" s="1"/>
  <c r="G26" i="192"/>
  <c r="Q26" i="192" s="1"/>
  <c r="B26" i="192"/>
  <c r="P26" i="192" s="1"/>
  <c r="G25" i="192"/>
  <c r="Q25" i="192" s="1"/>
  <c r="B25" i="192"/>
  <c r="P25" i="192" s="1"/>
  <c r="G24" i="192"/>
  <c r="Q24" i="192" s="1"/>
  <c r="B24" i="192"/>
  <c r="P24" i="192" s="1"/>
  <c r="G23" i="192"/>
  <c r="Q23" i="192" s="1"/>
  <c r="B23" i="192"/>
  <c r="P23" i="192" s="1"/>
  <c r="G22" i="192"/>
  <c r="Q22" i="192" s="1"/>
  <c r="B22" i="192"/>
  <c r="P22" i="192" s="1"/>
  <c r="G21" i="192"/>
  <c r="Q21" i="192" s="1"/>
  <c r="B21" i="192"/>
  <c r="P21" i="192" s="1"/>
  <c r="G20" i="192"/>
  <c r="Q20" i="192" s="1"/>
  <c r="B20" i="192"/>
  <c r="P20" i="192" s="1"/>
  <c r="G19" i="192"/>
  <c r="Q19" i="192" s="1"/>
  <c r="B19" i="192"/>
  <c r="P19" i="192" s="1"/>
  <c r="G18" i="192"/>
  <c r="Q18" i="192" s="1"/>
  <c r="B18" i="192"/>
  <c r="P18" i="192" s="1"/>
  <c r="G17" i="192"/>
  <c r="B17" i="192"/>
  <c r="P17" i="192" s="1"/>
  <c r="G16" i="192"/>
  <c r="Q16" i="192" s="1"/>
  <c r="B16" i="192"/>
  <c r="P16" i="192" s="1"/>
  <c r="G15" i="192"/>
  <c r="Q15" i="192" s="1"/>
  <c r="B15" i="192"/>
  <c r="P15" i="192" s="1"/>
  <c r="G14" i="192"/>
  <c r="Q14" i="192" s="1"/>
  <c r="B14" i="192"/>
  <c r="P14" i="192" s="1"/>
  <c r="G13" i="192"/>
  <c r="Q13" i="192" s="1"/>
  <c r="B13" i="192"/>
  <c r="P13" i="192" s="1"/>
  <c r="R17" i="193" l="1"/>
  <c r="Q17" i="193"/>
  <c r="R23" i="195"/>
  <c r="Q23" i="195"/>
  <c r="R22" i="194"/>
  <c r="Q22" i="194"/>
  <c r="R23" i="194"/>
  <c r="Q23" i="194"/>
  <c r="R17" i="196"/>
  <c r="Q17" i="196"/>
  <c r="Q17" i="192"/>
  <c r="R17" i="192"/>
  <c r="R17" i="195"/>
  <c r="Q17" i="195"/>
  <c r="R22" i="196"/>
  <c r="Q22" i="196"/>
  <c r="R17" i="194"/>
  <c r="Q17" i="194"/>
  <c r="R22" i="195"/>
  <c r="Q22" i="195"/>
  <c r="Q23" i="196"/>
  <c r="R23" i="196"/>
  <c r="G21" i="191"/>
  <c r="Q21" i="191" s="1"/>
  <c r="B21" i="191"/>
  <c r="P21" i="191" s="1"/>
  <c r="G24" i="191"/>
  <c r="Q24" i="191" s="1"/>
  <c r="B24" i="191"/>
  <c r="P24" i="191" s="1"/>
  <c r="G23" i="191"/>
  <c r="Q23" i="191" s="1"/>
  <c r="B23" i="191"/>
  <c r="P23" i="191" s="1"/>
  <c r="G22" i="191"/>
  <c r="Q22" i="191" s="1"/>
  <c r="B22" i="191"/>
  <c r="P22" i="191" s="1"/>
  <c r="G18" i="191"/>
  <c r="Q18" i="191" s="1"/>
  <c r="B18" i="191"/>
  <c r="P18" i="191" s="1"/>
  <c r="G16" i="191"/>
  <c r="Q16" i="191" s="1"/>
  <c r="B16" i="191"/>
  <c r="P16" i="191" s="1"/>
  <c r="G20" i="191"/>
  <c r="Q20" i="191" s="1"/>
  <c r="B20" i="191"/>
  <c r="P20" i="191" s="1"/>
  <c r="G19" i="191"/>
  <c r="Q19" i="191" s="1"/>
  <c r="B19" i="191"/>
  <c r="P19" i="191" s="1"/>
  <c r="G17" i="191"/>
  <c r="Q17" i="191" s="1"/>
  <c r="B17" i="191"/>
  <c r="P17" i="191" s="1"/>
  <c r="G15" i="191"/>
  <c r="Q15" i="191" s="1"/>
  <c r="B15" i="191"/>
  <c r="P15" i="191" s="1"/>
  <c r="G14" i="191"/>
  <c r="Q14" i="191" s="1"/>
  <c r="B14" i="191"/>
  <c r="P14" i="191" s="1"/>
  <c r="G13" i="191"/>
  <c r="Q13" i="191" s="1"/>
  <c r="B13" i="191"/>
  <c r="P13" i="191" s="1"/>
  <c r="G14" i="190" l="1"/>
  <c r="Q14" i="190" s="1"/>
  <c r="B14" i="190"/>
  <c r="P14" i="190" s="1"/>
  <c r="G13" i="190"/>
  <c r="Q13" i="190" s="1"/>
  <c r="B13" i="190"/>
  <c r="P13" i="190" s="1"/>
  <c r="G16" i="189"/>
  <c r="Q16" i="189" s="1"/>
  <c r="B16" i="189"/>
  <c r="P16" i="189" s="1"/>
  <c r="G15" i="189"/>
  <c r="Q15" i="189" s="1"/>
  <c r="B15" i="189"/>
  <c r="P15" i="189"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P17" i="185" s="1"/>
  <c r="G16" i="185"/>
  <c r="Q16" i="185" s="1"/>
  <c r="B16" i="185"/>
  <c r="P16" i="185" s="1"/>
  <c r="G155" i="185"/>
  <c r="Q155" i="185" s="1"/>
  <c r="B155" i="185"/>
  <c r="P155" i="185" s="1"/>
  <c r="G154" i="185"/>
  <c r="Q154" i="185" s="1"/>
  <c r="B154" i="185"/>
  <c r="P154" i="185" s="1"/>
  <c r="G153" i="185"/>
  <c r="Q153" i="185" s="1"/>
  <c r="B153" i="185"/>
  <c r="P153" i="185" s="1"/>
  <c r="G152" i="185"/>
  <c r="Q152" i="185" s="1"/>
  <c r="B152" i="185"/>
  <c r="P152" i="185" s="1"/>
  <c r="G151" i="185"/>
  <c r="Q151" i="185" s="1"/>
  <c r="B151" i="185"/>
  <c r="P151" i="185" s="1"/>
  <c r="G150" i="185"/>
  <c r="Q150" i="185" s="1"/>
  <c r="B150" i="185"/>
  <c r="P150" i="185" s="1"/>
  <c r="G149" i="185"/>
  <c r="Q149" i="185" s="1"/>
  <c r="B149" i="185"/>
  <c r="P149" i="185" s="1"/>
  <c r="G148" i="185"/>
  <c r="Q148" i="185" s="1"/>
  <c r="B148" i="185"/>
  <c r="P148" i="185" s="1"/>
  <c r="G147" i="185"/>
  <c r="Q147" i="185" s="1"/>
  <c r="B147" i="185"/>
  <c r="P147" i="185" s="1"/>
  <c r="G146" i="185"/>
  <c r="Q146" i="185" s="1"/>
  <c r="B146" i="185"/>
  <c r="P146" i="185" s="1"/>
  <c r="G145" i="185"/>
  <c r="Q145" i="185" s="1"/>
  <c r="B145" i="185"/>
  <c r="P145" i="185" s="1"/>
  <c r="G144" i="185"/>
  <c r="Q144" i="185" s="1"/>
  <c r="B144" i="185"/>
  <c r="P144" i="185" s="1"/>
  <c r="G143" i="185"/>
  <c r="Q143" i="185" s="1"/>
  <c r="B143" i="185"/>
  <c r="P143" i="185" s="1"/>
  <c r="G142" i="185"/>
  <c r="Q142" i="185" s="1"/>
  <c r="B142" i="185"/>
  <c r="P142" i="185" s="1"/>
  <c r="G141" i="185"/>
  <c r="Q141" i="185" s="1"/>
  <c r="B141" i="185"/>
  <c r="P141" i="185" s="1"/>
  <c r="G140" i="185"/>
  <c r="Q140" i="185" s="1"/>
  <c r="B140" i="185"/>
  <c r="P140" i="185" s="1"/>
  <c r="G139" i="185"/>
  <c r="Q139" i="185" s="1"/>
  <c r="B139" i="185"/>
  <c r="P139" i="185" s="1"/>
  <c r="G138" i="185"/>
  <c r="Q138" i="185" s="1"/>
  <c r="B138" i="185"/>
  <c r="P138" i="185" s="1"/>
  <c r="G137" i="185"/>
  <c r="Q137" i="185" s="1"/>
  <c r="B137" i="185"/>
  <c r="P137" i="185" s="1"/>
  <c r="G136" i="185"/>
  <c r="Q136" i="185" s="1"/>
  <c r="B136" i="185"/>
  <c r="P136" i="185" s="1"/>
  <c r="G135" i="185"/>
  <c r="Q135" i="185" s="1"/>
  <c r="B135" i="185"/>
  <c r="P135" i="185" s="1"/>
  <c r="G134" i="185"/>
  <c r="Q134" i="185" s="1"/>
  <c r="B134" i="185"/>
  <c r="P134" i="185" s="1"/>
  <c r="G133" i="185"/>
  <c r="Q133" i="185" s="1"/>
  <c r="B133" i="185"/>
  <c r="P133" i="185" s="1"/>
  <c r="G132" i="185"/>
  <c r="Q132" i="185" s="1"/>
  <c r="B132" i="185"/>
  <c r="P132" i="185" s="1"/>
  <c r="G131" i="185"/>
  <c r="Q131" i="185" s="1"/>
  <c r="B131" i="185"/>
  <c r="P131" i="185" s="1"/>
  <c r="G130" i="185"/>
  <c r="Q130" i="185" s="1"/>
  <c r="B130" i="185"/>
  <c r="P130" i="185" s="1"/>
  <c r="G129" i="185"/>
  <c r="Q129" i="185" s="1"/>
  <c r="B129" i="185"/>
  <c r="P129" i="185" s="1"/>
  <c r="G128" i="185"/>
  <c r="Q128" i="185" s="1"/>
  <c r="B128" i="185"/>
  <c r="P128" i="185" s="1"/>
  <c r="G127" i="185"/>
  <c r="Q127" i="185" s="1"/>
  <c r="B127" i="185"/>
  <c r="P127" i="185" s="1"/>
  <c r="G126" i="185"/>
  <c r="Q126" i="185" s="1"/>
  <c r="B126" i="185"/>
  <c r="P126" i="185" s="1"/>
  <c r="G125" i="185"/>
  <c r="Q125" i="185" s="1"/>
  <c r="B125" i="185"/>
  <c r="P125" i="185" s="1"/>
  <c r="G124" i="185"/>
  <c r="Q124" i="185" s="1"/>
  <c r="B124" i="185"/>
  <c r="P124" i="185" s="1"/>
  <c r="G123" i="185"/>
  <c r="Q123" i="185" s="1"/>
  <c r="B123" i="185"/>
  <c r="P123" i="185" s="1"/>
  <c r="G122" i="185"/>
  <c r="Q122" i="185" s="1"/>
  <c r="B122" i="185"/>
  <c r="P122" i="185" s="1"/>
  <c r="G121" i="185"/>
  <c r="Q121" i="185" s="1"/>
  <c r="B121" i="185"/>
  <c r="P121" i="185" s="1"/>
  <c r="G120" i="185"/>
  <c r="Q120" i="185" s="1"/>
  <c r="B120" i="185"/>
  <c r="P120" i="185" s="1"/>
  <c r="G119" i="185"/>
  <c r="Q119" i="185" s="1"/>
  <c r="B119" i="185"/>
  <c r="P119" i="185" s="1"/>
  <c r="G118" i="185"/>
  <c r="Q118" i="185" s="1"/>
  <c r="B118" i="185"/>
  <c r="P118" i="185" s="1"/>
  <c r="G117" i="185"/>
  <c r="Q117" i="185" s="1"/>
  <c r="B117" i="185"/>
  <c r="P117" i="185" s="1"/>
  <c r="G116" i="185"/>
  <c r="Q116" i="185" s="1"/>
  <c r="B116" i="185"/>
  <c r="P116" i="185" s="1"/>
  <c r="G115" i="185"/>
  <c r="Q115" i="185" s="1"/>
  <c r="B115" i="185"/>
  <c r="P115" i="185" s="1"/>
  <c r="G114" i="185"/>
  <c r="Q114" i="185" s="1"/>
  <c r="B114" i="185"/>
  <c r="P114" i="185" s="1"/>
  <c r="G113" i="185"/>
  <c r="Q113" i="185" s="1"/>
  <c r="B113" i="185"/>
  <c r="P113" i="185" s="1"/>
  <c r="G112" i="185"/>
  <c r="Q112" i="185" s="1"/>
  <c r="B112" i="185"/>
  <c r="P112" i="185" s="1"/>
  <c r="G111" i="185"/>
  <c r="Q111" i="185" s="1"/>
  <c r="B111" i="185"/>
  <c r="P111" i="185" s="1"/>
  <c r="G110" i="185"/>
  <c r="Q110" i="185" s="1"/>
  <c r="B110" i="185"/>
  <c r="P110" i="185" s="1"/>
  <c r="G109" i="185"/>
  <c r="Q109" i="185" s="1"/>
  <c r="B109" i="185"/>
  <c r="P109" i="185" s="1"/>
  <c r="G108" i="185"/>
  <c r="Q108" i="185" s="1"/>
  <c r="B108" i="185"/>
  <c r="P108" i="185" s="1"/>
  <c r="G107" i="185"/>
  <c r="Q107" i="185" s="1"/>
  <c r="B107" i="185"/>
  <c r="P107" i="185" s="1"/>
  <c r="G106" i="185"/>
  <c r="Q106" i="185" s="1"/>
  <c r="B106" i="185"/>
  <c r="P106" i="185" s="1"/>
  <c r="G105" i="185"/>
  <c r="Q105" i="185" s="1"/>
  <c r="B105" i="185"/>
  <c r="P105" i="185" s="1"/>
  <c r="G104" i="185"/>
  <c r="Q104" i="185" s="1"/>
  <c r="B104" i="185"/>
  <c r="P104" i="185" s="1"/>
  <c r="G103" i="185"/>
  <c r="Q103" i="185" s="1"/>
  <c r="B103" i="185"/>
  <c r="P103" i="185" s="1"/>
  <c r="G102" i="185"/>
  <c r="Q102" i="185" s="1"/>
  <c r="B102" i="185"/>
  <c r="P102" i="185" s="1"/>
  <c r="G101" i="185"/>
  <c r="Q101" i="185" s="1"/>
  <c r="B101" i="185"/>
  <c r="P101" i="185" s="1"/>
  <c r="G100" i="185"/>
  <c r="Q100" i="185" s="1"/>
  <c r="B100" i="185"/>
  <c r="P100" i="185" s="1"/>
  <c r="G99" i="185"/>
  <c r="Q99" i="185" s="1"/>
  <c r="B99" i="185"/>
  <c r="P99" i="185" s="1"/>
  <c r="G98" i="185"/>
  <c r="Q98" i="185" s="1"/>
  <c r="B98" i="185"/>
  <c r="P98" i="185" s="1"/>
  <c r="G97" i="185"/>
  <c r="Q97" i="185" s="1"/>
  <c r="B97" i="185"/>
  <c r="P97" i="185" s="1"/>
  <c r="G96" i="185"/>
  <c r="Q96" i="185" s="1"/>
  <c r="B96" i="185"/>
  <c r="P96" i="185" s="1"/>
  <c r="G95" i="185"/>
  <c r="Q95" i="185" s="1"/>
  <c r="B95" i="185"/>
  <c r="P95" i="185" s="1"/>
  <c r="G94" i="185"/>
  <c r="Q94" i="185" s="1"/>
  <c r="B94" i="185"/>
  <c r="P94" i="185" s="1"/>
  <c r="G93" i="185"/>
  <c r="Q93" i="185" s="1"/>
  <c r="B93" i="185"/>
  <c r="P93" i="185" s="1"/>
  <c r="G92" i="185"/>
  <c r="Q92" i="185" s="1"/>
  <c r="B92" i="185"/>
  <c r="P92" i="185" s="1"/>
  <c r="G91" i="185"/>
  <c r="Q91" i="185" s="1"/>
  <c r="B91" i="185"/>
  <c r="P91" i="185" s="1"/>
  <c r="G90" i="185"/>
  <c r="Q90" i="185" s="1"/>
  <c r="B90" i="185"/>
  <c r="P90" i="185" s="1"/>
  <c r="G89" i="185"/>
  <c r="Q89" i="185" s="1"/>
  <c r="B89" i="185"/>
  <c r="P89" i="185" s="1"/>
  <c r="G88" i="185"/>
  <c r="Q88" i="185" s="1"/>
  <c r="B88" i="185"/>
  <c r="P88" i="185" s="1"/>
  <c r="G87" i="185"/>
  <c r="Q87" i="185" s="1"/>
  <c r="B87" i="185"/>
  <c r="P87" i="185" s="1"/>
  <c r="G86" i="185"/>
  <c r="Q86" i="185" s="1"/>
  <c r="B86" i="185"/>
  <c r="P86" i="185" s="1"/>
  <c r="G85" i="185"/>
  <c r="Q85" i="185" s="1"/>
  <c r="B85" i="185"/>
  <c r="P85" i="185" s="1"/>
  <c r="G84" i="185"/>
  <c r="Q84" i="185" s="1"/>
  <c r="B84" i="185"/>
  <c r="P84" i="185" s="1"/>
  <c r="G83" i="185"/>
  <c r="Q83" i="185" s="1"/>
  <c r="B83" i="185"/>
  <c r="P83" i="185" s="1"/>
  <c r="G82" i="185"/>
  <c r="Q82" i="185" s="1"/>
  <c r="B82" i="185"/>
  <c r="P82" i="185" s="1"/>
  <c r="G81" i="185"/>
  <c r="Q81" i="185" s="1"/>
  <c r="B81" i="185"/>
  <c r="P81" i="185" s="1"/>
  <c r="G80" i="185"/>
  <c r="Q80" i="185" s="1"/>
  <c r="B80" i="185"/>
  <c r="P80" i="185" s="1"/>
  <c r="G79" i="185"/>
  <c r="Q79" i="185" s="1"/>
  <c r="B79" i="185"/>
  <c r="P79" i="185" s="1"/>
  <c r="G78" i="185"/>
  <c r="Q78" i="185" s="1"/>
  <c r="B78" i="185"/>
  <c r="P78" i="185" s="1"/>
  <c r="G77" i="185"/>
  <c r="Q77" i="185" s="1"/>
  <c r="B77" i="185"/>
  <c r="P77" i="185" s="1"/>
  <c r="G76" i="185"/>
  <c r="Q76" i="185" s="1"/>
  <c r="B76" i="185"/>
  <c r="P76" i="185" s="1"/>
  <c r="G75" i="185"/>
  <c r="Q75" i="185" s="1"/>
  <c r="B75" i="185"/>
  <c r="P75" i="185" s="1"/>
  <c r="G74" i="185"/>
  <c r="Q74" i="185" s="1"/>
  <c r="B74" i="185"/>
  <c r="P74" i="185" s="1"/>
  <c r="G73" i="185"/>
  <c r="Q73" i="185" s="1"/>
  <c r="B73" i="185"/>
  <c r="P73" i="185" s="1"/>
  <c r="G72" i="185"/>
  <c r="Q72" i="185" s="1"/>
  <c r="B72" i="185"/>
  <c r="P72" i="185" s="1"/>
  <c r="G71" i="185"/>
  <c r="Q71" i="185" s="1"/>
  <c r="B71" i="185"/>
  <c r="P71" i="185" s="1"/>
  <c r="G70" i="185"/>
  <c r="Q70" i="185" s="1"/>
  <c r="B70" i="185"/>
  <c r="P70" i="185" s="1"/>
  <c r="G69" i="185"/>
  <c r="Q69" i="185" s="1"/>
  <c r="B69" i="185"/>
  <c r="P69" i="185" s="1"/>
  <c r="G68" i="185"/>
  <c r="Q68" i="185" s="1"/>
  <c r="B68" i="185"/>
  <c r="P68" i="185" s="1"/>
  <c r="G67" i="185"/>
  <c r="Q67" i="185" s="1"/>
  <c r="B67" i="185"/>
  <c r="P67" i="185" s="1"/>
  <c r="G66" i="185"/>
  <c r="Q66" i="185" s="1"/>
  <c r="B66" i="185"/>
  <c r="P66" i="185" s="1"/>
  <c r="G65" i="185"/>
  <c r="Q65" i="185" s="1"/>
  <c r="B65" i="185"/>
  <c r="P65" i="185" s="1"/>
  <c r="G64" i="185"/>
  <c r="Q64" i="185" s="1"/>
  <c r="B64" i="185"/>
  <c r="P64" i="185" s="1"/>
  <c r="G63" i="185"/>
  <c r="Q63" i="185" s="1"/>
  <c r="B63" i="185"/>
  <c r="P63" i="185" s="1"/>
  <c r="G62" i="185"/>
  <c r="Q62" i="185" s="1"/>
  <c r="B62" i="185"/>
  <c r="P62" i="185" s="1"/>
  <c r="G61" i="185"/>
  <c r="Q61" i="185" s="1"/>
  <c r="B61" i="185"/>
  <c r="P61" i="185" s="1"/>
  <c r="G60" i="185"/>
  <c r="Q60" i="185" s="1"/>
  <c r="B60" i="185"/>
  <c r="P60" i="185" s="1"/>
  <c r="G59" i="185"/>
  <c r="Q59" i="185" s="1"/>
  <c r="B59" i="185"/>
  <c r="P59" i="185" s="1"/>
  <c r="G58" i="185"/>
  <c r="Q58" i="185" s="1"/>
  <c r="B58" i="185"/>
  <c r="P58" i="185" s="1"/>
  <c r="G57" i="185"/>
  <c r="Q57" i="185" s="1"/>
  <c r="B57" i="185"/>
  <c r="P57" i="185" s="1"/>
  <c r="G56" i="185"/>
  <c r="Q56" i="185" s="1"/>
  <c r="B56" i="185"/>
  <c r="P56" i="185" s="1"/>
  <c r="G55" i="185"/>
  <c r="Q55" i="185" s="1"/>
  <c r="B55" i="185"/>
  <c r="P55" i="185" s="1"/>
  <c r="G54" i="185"/>
  <c r="Q54" i="185" s="1"/>
  <c r="B54" i="185"/>
  <c r="P54" i="185" s="1"/>
  <c r="G53" i="185"/>
  <c r="Q53" i="185" s="1"/>
  <c r="B53" i="185"/>
  <c r="P53" i="185" s="1"/>
  <c r="G52" i="185"/>
  <c r="Q52" i="185" s="1"/>
  <c r="B52" i="185"/>
  <c r="P52" i="185" s="1"/>
  <c r="G51" i="185"/>
  <c r="Q51" i="185" s="1"/>
  <c r="B51" i="185"/>
  <c r="P51" i="185" s="1"/>
  <c r="G50" i="185"/>
  <c r="Q50" i="185" s="1"/>
  <c r="B50" i="185"/>
  <c r="P50" i="185" s="1"/>
  <c r="G49" i="185"/>
  <c r="Q49" i="185" s="1"/>
  <c r="B49" i="185"/>
  <c r="P49" i="185" s="1"/>
  <c r="G48" i="185"/>
  <c r="Q48" i="185" s="1"/>
  <c r="B48" i="185"/>
  <c r="P48" i="185" s="1"/>
  <c r="G47" i="185"/>
  <c r="Q47" i="185" s="1"/>
  <c r="B47" i="185"/>
  <c r="P47" i="185" s="1"/>
  <c r="G46" i="185"/>
  <c r="Q46" i="185" s="1"/>
  <c r="B46" i="185"/>
  <c r="P46" i="185" s="1"/>
  <c r="G45" i="185"/>
  <c r="Q45" i="185" s="1"/>
  <c r="B45" i="185"/>
  <c r="P45" i="185" s="1"/>
  <c r="G44" i="185"/>
  <c r="Q44" i="185" s="1"/>
  <c r="B44" i="185"/>
  <c r="P44" i="185" s="1"/>
  <c r="G43" i="185"/>
  <c r="Q43" i="185" s="1"/>
  <c r="B43" i="185"/>
  <c r="P43" i="185" s="1"/>
  <c r="G42" i="185"/>
  <c r="Q42" i="185" s="1"/>
  <c r="B42" i="185"/>
  <c r="P42" i="185" s="1"/>
  <c r="G41" i="185"/>
  <c r="Q41" i="185" s="1"/>
  <c r="B41" i="185"/>
  <c r="P41" i="185" s="1"/>
  <c r="G40" i="185"/>
  <c r="Q40" i="185" s="1"/>
  <c r="B40" i="185"/>
  <c r="P40" i="185" s="1"/>
  <c r="G39" i="185"/>
  <c r="Q39" i="185" s="1"/>
  <c r="B39" i="185"/>
  <c r="P39" i="185" s="1"/>
  <c r="G38" i="185"/>
  <c r="Q38" i="185" s="1"/>
  <c r="B38" i="185"/>
  <c r="P38" i="185" s="1"/>
  <c r="G37" i="185"/>
  <c r="Q37" i="185" s="1"/>
  <c r="B37" i="185"/>
  <c r="P37" i="185" s="1"/>
  <c r="G36" i="185"/>
  <c r="Q36" i="185" s="1"/>
  <c r="B36" i="185"/>
  <c r="P36" i="185" s="1"/>
  <c r="G35" i="185"/>
  <c r="Q35" i="185" s="1"/>
  <c r="B35" i="185"/>
  <c r="P35" i="185" s="1"/>
  <c r="G34" i="185"/>
  <c r="Q34" i="185" s="1"/>
  <c r="B34" i="185"/>
  <c r="P34" i="185" s="1"/>
  <c r="G33" i="185"/>
  <c r="Q33" i="185" s="1"/>
  <c r="B33" i="185"/>
  <c r="P33" i="185" s="1"/>
  <c r="G32" i="185"/>
  <c r="Q32" i="185" s="1"/>
  <c r="B32" i="185"/>
  <c r="P32" i="185" s="1"/>
  <c r="G31" i="185"/>
  <c r="Q31" i="185" s="1"/>
  <c r="B31" i="185"/>
  <c r="P31" i="185" s="1"/>
  <c r="G30" i="185"/>
  <c r="Q30" i="185" s="1"/>
  <c r="B30" i="185"/>
  <c r="P30" i="185" s="1"/>
  <c r="G29" i="185"/>
  <c r="Q29" i="185" s="1"/>
  <c r="B29" i="185"/>
  <c r="P29" i="185" s="1"/>
  <c r="G28" i="185"/>
  <c r="Q28" i="185" s="1"/>
  <c r="B28" i="185"/>
  <c r="P28" i="185" s="1"/>
  <c r="G27" i="185"/>
  <c r="Q27" i="185" s="1"/>
  <c r="B27" i="185"/>
  <c r="P27" i="185" s="1"/>
  <c r="G26" i="185"/>
  <c r="Q26" i="185" s="1"/>
  <c r="B26" i="185"/>
  <c r="P26" i="185" s="1"/>
  <c r="G25" i="185"/>
  <c r="Q25" i="185" s="1"/>
  <c r="B25" i="185"/>
  <c r="P25" i="185" s="1"/>
  <c r="G24" i="185"/>
  <c r="Q24" i="185" s="1"/>
  <c r="B24" i="185"/>
  <c r="P24" i="185" s="1"/>
  <c r="G23" i="185"/>
  <c r="B23" i="185"/>
  <c r="P23" i="185" s="1"/>
  <c r="G22" i="185"/>
  <c r="B22" i="185"/>
  <c r="P22" i="185" s="1"/>
  <c r="G21" i="185"/>
  <c r="Q21" i="185" s="1"/>
  <c r="B21" i="185"/>
  <c r="P21" i="185" s="1"/>
  <c r="G20" i="185"/>
  <c r="Q20" i="185" s="1"/>
  <c r="B20" i="185"/>
  <c r="P20" i="185" s="1"/>
  <c r="G19" i="185"/>
  <c r="Q19" i="185" s="1"/>
  <c r="B19" i="185"/>
  <c r="P19" i="185" s="1"/>
  <c r="G18" i="185"/>
  <c r="Q18" i="185" s="1"/>
  <c r="B18" i="185"/>
  <c r="P18" i="185" s="1"/>
  <c r="G15" i="185"/>
  <c r="Q15" i="185" s="1"/>
  <c r="B15" i="185"/>
  <c r="P15" i="185" s="1"/>
  <c r="G14" i="185"/>
  <c r="Q14" i="185" s="1"/>
  <c r="B14" i="185"/>
  <c r="P14" i="185" s="1"/>
  <c r="G13" i="185"/>
  <c r="Q13" i="185" s="1"/>
  <c r="B13" i="185"/>
  <c r="P13" i="185" s="1"/>
  <c r="Q22" i="185" l="1"/>
  <c r="R22" i="185"/>
  <c r="R23" i="185"/>
  <c r="Q23" i="185"/>
  <c r="R17" i="185"/>
  <c r="Q17" i="185"/>
  <c r="R23" i="187"/>
  <c r="Q23" i="187"/>
  <c r="R17" i="187"/>
  <c r="Q17" i="187"/>
  <c r="R22" i="187"/>
  <c r="Q22" i="187"/>
  <c r="R22" i="186"/>
  <c r="Q22" i="186"/>
  <c r="Q17" i="186"/>
  <c r="R17" i="186"/>
  <c r="R23" i="186"/>
  <c r="Q23" i="186"/>
  <c r="A187" i="25"/>
  <c r="A185" i="25"/>
  <c r="A184" i="25"/>
  <c r="A183" i="25"/>
  <c r="A154" i="25"/>
  <c r="A150" i="25"/>
  <c r="A147" i="25"/>
  <c r="A106" i="25"/>
  <c r="A105" i="25"/>
  <c r="A104" i="25"/>
  <c r="A103" i="25"/>
  <c r="A102" i="25"/>
  <c r="AM185" i="25"/>
  <c r="AE184" i="25"/>
  <c r="AE187" i="25"/>
  <c r="AM187" i="25"/>
  <c r="AM184" i="25"/>
  <c r="AE185" i="25"/>
  <c r="BK184" i="25" l="1"/>
  <c r="BK185" i="25"/>
  <c r="BK187" i="25"/>
  <c r="G152" i="182" l="1"/>
  <c r="Q152" i="182" s="1"/>
  <c r="B152" i="182"/>
  <c r="P152" i="182" s="1"/>
  <c r="G151" i="182"/>
  <c r="Q151" i="182" s="1"/>
  <c r="B151" i="182"/>
  <c r="P151" i="182" s="1"/>
  <c r="G150" i="182"/>
  <c r="Q150" i="182" s="1"/>
  <c r="B150" i="182"/>
  <c r="P150" i="182" s="1"/>
  <c r="G149" i="182"/>
  <c r="Q149" i="182" s="1"/>
  <c r="B149" i="182"/>
  <c r="P149" i="182" s="1"/>
  <c r="G148" i="182"/>
  <c r="Q148" i="182" s="1"/>
  <c r="B148" i="182"/>
  <c r="P148" i="182" s="1"/>
  <c r="G147" i="182"/>
  <c r="Q147" i="182" s="1"/>
  <c r="B147" i="182"/>
  <c r="P147" i="182" s="1"/>
  <c r="G146" i="182"/>
  <c r="Q146" i="182" s="1"/>
  <c r="B146" i="182"/>
  <c r="P146" i="182" s="1"/>
  <c r="G145" i="182"/>
  <c r="Q145" i="182" s="1"/>
  <c r="B145" i="182"/>
  <c r="P145" i="182" s="1"/>
  <c r="G144" i="182"/>
  <c r="Q144" i="182" s="1"/>
  <c r="B144" i="182"/>
  <c r="P144" i="182" s="1"/>
  <c r="G143" i="182"/>
  <c r="Q143" i="182" s="1"/>
  <c r="B143" i="182"/>
  <c r="P143" i="182" s="1"/>
  <c r="G142" i="182"/>
  <c r="Q142" i="182" s="1"/>
  <c r="B142" i="182"/>
  <c r="P142" i="182" s="1"/>
  <c r="G141" i="182"/>
  <c r="Q141" i="182" s="1"/>
  <c r="B141" i="182"/>
  <c r="P141" i="182" s="1"/>
  <c r="G140" i="182"/>
  <c r="Q140" i="182" s="1"/>
  <c r="B140" i="182"/>
  <c r="P140" i="182" s="1"/>
  <c r="G139" i="182"/>
  <c r="Q139" i="182" s="1"/>
  <c r="B139" i="182"/>
  <c r="P139" i="182" s="1"/>
  <c r="G138" i="182"/>
  <c r="Q138" i="182" s="1"/>
  <c r="B138" i="182"/>
  <c r="P138" i="182" s="1"/>
  <c r="G137" i="182"/>
  <c r="Q137" i="182" s="1"/>
  <c r="B137" i="182"/>
  <c r="P137" i="182" s="1"/>
  <c r="G136" i="182"/>
  <c r="Q136" i="182" s="1"/>
  <c r="B136" i="182"/>
  <c r="P136" i="182" s="1"/>
  <c r="G135" i="182"/>
  <c r="Q135" i="182" s="1"/>
  <c r="B135" i="182"/>
  <c r="P135" i="182" s="1"/>
  <c r="G134" i="182"/>
  <c r="Q134" i="182" s="1"/>
  <c r="B134" i="182"/>
  <c r="P134" i="182" s="1"/>
  <c r="G133" i="182"/>
  <c r="Q133" i="182" s="1"/>
  <c r="B133" i="182"/>
  <c r="P133" i="182" s="1"/>
  <c r="G132" i="182"/>
  <c r="Q132" i="182" s="1"/>
  <c r="B132" i="182"/>
  <c r="P132" i="182" s="1"/>
  <c r="G131" i="182"/>
  <c r="Q131" i="182" s="1"/>
  <c r="B131" i="182"/>
  <c r="P131" i="182" s="1"/>
  <c r="G130" i="182"/>
  <c r="Q130" i="182" s="1"/>
  <c r="B130" i="182"/>
  <c r="P130" i="182" s="1"/>
  <c r="G129" i="182"/>
  <c r="Q129" i="182" s="1"/>
  <c r="B129" i="182"/>
  <c r="P129" i="182" s="1"/>
  <c r="G128" i="182"/>
  <c r="Q128" i="182" s="1"/>
  <c r="B128" i="182"/>
  <c r="P128" i="182" s="1"/>
  <c r="G127" i="182"/>
  <c r="Q127" i="182" s="1"/>
  <c r="B127" i="182"/>
  <c r="P127" i="182" s="1"/>
  <c r="G126" i="182"/>
  <c r="Q126" i="182" s="1"/>
  <c r="B126" i="182"/>
  <c r="P126" i="182" s="1"/>
  <c r="G125" i="182"/>
  <c r="Q125" i="182" s="1"/>
  <c r="B125" i="182"/>
  <c r="P125" i="182" s="1"/>
  <c r="G124" i="182"/>
  <c r="Q124" i="182" s="1"/>
  <c r="B124" i="182"/>
  <c r="P124" i="182" s="1"/>
  <c r="G123" i="182"/>
  <c r="Q123" i="182" s="1"/>
  <c r="B123" i="182"/>
  <c r="P123" i="182" s="1"/>
  <c r="G122" i="182"/>
  <c r="Q122" i="182" s="1"/>
  <c r="B122" i="182"/>
  <c r="P122" i="182" s="1"/>
  <c r="G121" i="182"/>
  <c r="Q121" i="182" s="1"/>
  <c r="B121" i="182"/>
  <c r="P121" i="182" s="1"/>
  <c r="G120" i="182"/>
  <c r="Q120" i="182" s="1"/>
  <c r="B120" i="182"/>
  <c r="P120" i="182" s="1"/>
  <c r="G119" i="182"/>
  <c r="Q119" i="182" s="1"/>
  <c r="B119" i="182"/>
  <c r="P119" i="182" s="1"/>
  <c r="G118" i="182"/>
  <c r="Q118" i="182" s="1"/>
  <c r="B118" i="182"/>
  <c r="P118" i="182" s="1"/>
  <c r="G117" i="182"/>
  <c r="Q117" i="182" s="1"/>
  <c r="B117" i="182"/>
  <c r="P117" i="182" s="1"/>
  <c r="G116" i="182"/>
  <c r="Q116" i="182" s="1"/>
  <c r="B116" i="182"/>
  <c r="P116" i="182" s="1"/>
  <c r="G115" i="182"/>
  <c r="Q115" i="182" s="1"/>
  <c r="B115" i="182"/>
  <c r="P115" i="182" s="1"/>
  <c r="G114" i="182"/>
  <c r="Q114" i="182" s="1"/>
  <c r="B114" i="182"/>
  <c r="P114" i="182" s="1"/>
  <c r="G113" i="182"/>
  <c r="Q113" i="182" s="1"/>
  <c r="B113" i="182"/>
  <c r="P113" i="182" s="1"/>
  <c r="G112" i="182"/>
  <c r="Q112" i="182" s="1"/>
  <c r="B112" i="182"/>
  <c r="P112" i="182" s="1"/>
  <c r="G111" i="182"/>
  <c r="Q111" i="182" s="1"/>
  <c r="B111" i="182"/>
  <c r="P111" i="182" s="1"/>
  <c r="G110" i="182"/>
  <c r="Q110" i="182" s="1"/>
  <c r="B110" i="182"/>
  <c r="P110" i="182" s="1"/>
  <c r="G109" i="182"/>
  <c r="Q109" i="182" s="1"/>
  <c r="B109" i="182"/>
  <c r="P109" i="182" s="1"/>
  <c r="G108" i="182"/>
  <c r="Q108" i="182" s="1"/>
  <c r="B108" i="182"/>
  <c r="P108" i="182" s="1"/>
  <c r="G107" i="182"/>
  <c r="Q107" i="182" s="1"/>
  <c r="B107" i="182"/>
  <c r="P107" i="182" s="1"/>
  <c r="G106" i="182"/>
  <c r="Q106" i="182" s="1"/>
  <c r="B106" i="182"/>
  <c r="P106" i="182" s="1"/>
  <c r="G105" i="182"/>
  <c r="Q105" i="182" s="1"/>
  <c r="B105" i="182"/>
  <c r="P105" i="182" s="1"/>
  <c r="G104" i="182"/>
  <c r="Q104" i="182" s="1"/>
  <c r="B104" i="182"/>
  <c r="P104" i="182" s="1"/>
  <c r="G103" i="182"/>
  <c r="Q103" i="182" s="1"/>
  <c r="B103" i="182"/>
  <c r="P103" i="182" s="1"/>
  <c r="G102" i="182"/>
  <c r="Q102" i="182" s="1"/>
  <c r="B102" i="182"/>
  <c r="P102" i="182" s="1"/>
  <c r="G101" i="182"/>
  <c r="Q101" i="182" s="1"/>
  <c r="B101" i="182"/>
  <c r="P101" i="182" s="1"/>
  <c r="G100" i="182"/>
  <c r="Q100" i="182" s="1"/>
  <c r="B100" i="182"/>
  <c r="P100" i="182" s="1"/>
  <c r="G99" i="182"/>
  <c r="Q99" i="182" s="1"/>
  <c r="B99" i="182"/>
  <c r="P99" i="182" s="1"/>
  <c r="G98" i="182"/>
  <c r="Q98" i="182" s="1"/>
  <c r="B98" i="182"/>
  <c r="P98" i="182" s="1"/>
  <c r="G97" i="182"/>
  <c r="Q97" i="182" s="1"/>
  <c r="B97" i="182"/>
  <c r="P97" i="182" s="1"/>
  <c r="G96" i="182"/>
  <c r="Q96" i="182" s="1"/>
  <c r="B96" i="182"/>
  <c r="P96" i="182" s="1"/>
  <c r="G95" i="182"/>
  <c r="Q95" i="182" s="1"/>
  <c r="B95" i="182"/>
  <c r="P95" i="182" s="1"/>
  <c r="G94" i="182"/>
  <c r="Q94" i="182" s="1"/>
  <c r="B94" i="182"/>
  <c r="P94" i="182" s="1"/>
  <c r="G93" i="182"/>
  <c r="Q93" i="182" s="1"/>
  <c r="B93" i="182"/>
  <c r="P93" i="182" s="1"/>
  <c r="G92" i="182"/>
  <c r="Q92" i="182" s="1"/>
  <c r="B92" i="182"/>
  <c r="P92" i="182" s="1"/>
  <c r="G91" i="182"/>
  <c r="Q91" i="182" s="1"/>
  <c r="B91" i="182"/>
  <c r="P91" i="182" s="1"/>
  <c r="G90" i="182"/>
  <c r="Q90" i="182" s="1"/>
  <c r="B90" i="182"/>
  <c r="P90" i="182" s="1"/>
  <c r="G89" i="182"/>
  <c r="Q89" i="182" s="1"/>
  <c r="B89" i="182"/>
  <c r="P89" i="182" s="1"/>
  <c r="G88" i="182"/>
  <c r="Q88" i="182" s="1"/>
  <c r="B88" i="182"/>
  <c r="P88" i="182" s="1"/>
  <c r="G87" i="182"/>
  <c r="Q87" i="182" s="1"/>
  <c r="B87" i="182"/>
  <c r="P87" i="182" s="1"/>
  <c r="G86" i="182"/>
  <c r="Q86" i="182" s="1"/>
  <c r="B86" i="182"/>
  <c r="P86" i="182" s="1"/>
  <c r="G85" i="182"/>
  <c r="Q85" i="182" s="1"/>
  <c r="B85" i="182"/>
  <c r="P85" i="182" s="1"/>
  <c r="G84" i="182"/>
  <c r="Q84" i="182" s="1"/>
  <c r="B84" i="182"/>
  <c r="P84" i="182" s="1"/>
  <c r="G83" i="182"/>
  <c r="Q83" i="182" s="1"/>
  <c r="B83" i="182"/>
  <c r="P83" i="182" s="1"/>
  <c r="G82" i="182"/>
  <c r="Q82" i="182" s="1"/>
  <c r="B82" i="182"/>
  <c r="P82" i="182" s="1"/>
  <c r="G81" i="182"/>
  <c r="Q81" i="182" s="1"/>
  <c r="B81" i="182"/>
  <c r="P81" i="182" s="1"/>
  <c r="G80" i="182"/>
  <c r="Q80" i="182" s="1"/>
  <c r="B80" i="182"/>
  <c r="P80" i="182" s="1"/>
  <c r="G79" i="182"/>
  <c r="Q79" i="182" s="1"/>
  <c r="B79" i="182"/>
  <c r="P79" i="182" s="1"/>
  <c r="G78" i="182"/>
  <c r="Q78" i="182" s="1"/>
  <c r="B78" i="182"/>
  <c r="P78" i="182" s="1"/>
  <c r="G77" i="182"/>
  <c r="Q77" i="182" s="1"/>
  <c r="B77" i="182"/>
  <c r="P77" i="182" s="1"/>
  <c r="G76" i="182"/>
  <c r="Q76" i="182" s="1"/>
  <c r="B76" i="182"/>
  <c r="P76" i="182" s="1"/>
  <c r="G75" i="182"/>
  <c r="Q75" i="182" s="1"/>
  <c r="B75" i="182"/>
  <c r="P75" i="182" s="1"/>
  <c r="G74" i="182"/>
  <c r="Q74" i="182" s="1"/>
  <c r="B74" i="182"/>
  <c r="P74" i="182" s="1"/>
  <c r="G73" i="182"/>
  <c r="Q73" i="182" s="1"/>
  <c r="B73" i="182"/>
  <c r="P73" i="182" s="1"/>
  <c r="G72" i="182"/>
  <c r="Q72" i="182" s="1"/>
  <c r="B72" i="182"/>
  <c r="P72" i="182" s="1"/>
  <c r="G71" i="182"/>
  <c r="Q71" i="182" s="1"/>
  <c r="B71" i="182"/>
  <c r="P71" i="182" s="1"/>
  <c r="G70" i="182"/>
  <c r="Q70" i="182" s="1"/>
  <c r="B70" i="182"/>
  <c r="P70" i="182" s="1"/>
  <c r="G69" i="182"/>
  <c r="Q69" i="182" s="1"/>
  <c r="B69" i="182"/>
  <c r="P69" i="182" s="1"/>
  <c r="G68" i="182"/>
  <c r="Q68" i="182" s="1"/>
  <c r="B68" i="182"/>
  <c r="P68" i="182" s="1"/>
  <c r="G67" i="182"/>
  <c r="Q67" i="182" s="1"/>
  <c r="B67" i="182"/>
  <c r="P67" i="182" s="1"/>
  <c r="G66" i="182"/>
  <c r="Q66" i="182" s="1"/>
  <c r="B66" i="182"/>
  <c r="P66" i="182" s="1"/>
  <c r="G65" i="182"/>
  <c r="Q65" i="182" s="1"/>
  <c r="B65" i="182"/>
  <c r="P65" i="182" s="1"/>
  <c r="G64" i="182"/>
  <c r="Q64" i="182" s="1"/>
  <c r="B64" i="182"/>
  <c r="P64" i="182" s="1"/>
  <c r="G63" i="182"/>
  <c r="Q63" i="182" s="1"/>
  <c r="B63" i="182"/>
  <c r="P63" i="182" s="1"/>
  <c r="G62" i="182"/>
  <c r="Q62" i="182" s="1"/>
  <c r="B62" i="182"/>
  <c r="P62" i="182" s="1"/>
  <c r="G61" i="182"/>
  <c r="Q61" i="182" s="1"/>
  <c r="B61" i="182"/>
  <c r="P61" i="182" s="1"/>
  <c r="G60" i="182"/>
  <c r="Q60" i="182" s="1"/>
  <c r="B60" i="182"/>
  <c r="P60" i="182" s="1"/>
  <c r="G59" i="182"/>
  <c r="Q59" i="182" s="1"/>
  <c r="B59" i="182"/>
  <c r="P59" i="182" s="1"/>
  <c r="G58" i="182"/>
  <c r="Q58" i="182" s="1"/>
  <c r="B58" i="182"/>
  <c r="P58" i="182" s="1"/>
  <c r="G57" i="182"/>
  <c r="Q57" i="182" s="1"/>
  <c r="B57" i="182"/>
  <c r="P57" i="182" s="1"/>
  <c r="G56" i="182"/>
  <c r="Q56" i="182" s="1"/>
  <c r="B56" i="182"/>
  <c r="P56" i="182" s="1"/>
  <c r="G55" i="182"/>
  <c r="Q55" i="182" s="1"/>
  <c r="B55" i="182"/>
  <c r="P55" i="182" s="1"/>
  <c r="G54" i="182"/>
  <c r="Q54" i="182" s="1"/>
  <c r="B54" i="182"/>
  <c r="P54" i="182" s="1"/>
  <c r="G53" i="182"/>
  <c r="Q53" i="182" s="1"/>
  <c r="B53" i="182"/>
  <c r="P53" i="182" s="1"/>
  <c r="G52" i="182"/>
  <c r="Q52" i="182" s="1"/>
  <c r="B52" i="182"/>
  <c r="P52" i="182" s="1"/>
  <c r="G51" i="182"/>
  <c r="Q51" i="182" s="1"/>
  <c r="B51" i="182"/>
  <c r="P51" i="182" s="1"/>
  <c r="G50" i="182"/>
  <c r="Q50" i="182" s="1"/>
  <c r="B50" i="182"/>
  <c r="P50" i="182" s="1"/>
  <c r="G49" i="182"/>
  <c r="Q49" i="182" s="1"/>
  <c r="B49" i="182"/>
  <c r="P49" i="182" s="1"/>
  <c r="G48" i="182"/>
  <c r="Q48" i="182" s="1"/>
  <c r="B48" i="182"/>
  <c r="P48" i="182" s="1"/>
  <c r="G47" i="182"/>
  <c r="Q47" i="182" s="1"/>
  <c r="B47" i="182"/>
  <c r="P47" i="182" s="1"/>
  <c r="G46" i="182"/>
  <c r="Q46" i="182" s="1"/>
  <c r="B46" i="182"/>
  <c r="P46" i="182" s="1"/>
  <c r="G45" i="182"/>
  <c r="Q45" i="182" s="1"/>
  <c r="B45" i="182"/>
  <c r="P45" i="182" s="1"/>
  <c r="G44" i="182"/>
  <c r="Q44" i="182" s="1"/>
  <c r="B44" i="182"/>
  <c r="P44" i="182" s="1"/>
  <c r="G43" i="182"/>
  <c r="Q43" i="182" s="1"/>
  <c r="B43" i="182"/>
  <c r="P43" i="182" s="1"/>
  <c r="G42" i="182"/>
  <c r="Q42" i="182" s="1"/>
  <c r="B42" i="182"/>
  <c r="P42" i="182" s="1"/>
  <c r="G41" i="182"/>
  <c r="Q41" i="182" s="1"/>
  <c r="B41" i="182"/>
  <c r="P41" i="182" s="1"/>
  <c r="G40" i="182"/>
  <c r="Q40" i="182" s="1"/>
  <c r="B40" i="182"/>
  <c r="P40" i="182" s="1"/>
  <c r="G39" i="182"/>
  <c r="Q39" i="182" s="1"/>
  <c r="B39" i="182"/>
  <c r="P39" i="182" s="1"/>
  <c r="G153" i="182"/>
  <c r="Q153" i="182" s="1"/>
  <c r="B153" i="182"/>
  <c r="P153" i="182" s="1"/>
  <c r="G38" i="182"/>
  <c r="Q38" i="182" s="1"/>
  <c r="B38" i="182"/>
  <c r="P38" i="182" s="1"/>
  <c r="G37" i="182"/>
  <c r="Q37" i="182" s="1"/>
  <c r="B37" i="182"/>
  <c r="P37" i="182" s="1"/>
  <c r="G36" i="182"/>
  <c r="Q36" i="182" s="1"/>
  <c r="B36" i="182"/>
  <c r="P36" i="182" s="1"/>
  <c r="G35" i="182"/>
  <c r="Q35" i="182" s="1"/>
  <c r="B35" i="182"/>
  <c r="P35" i="182" s="1"/>
  <c r="G34" i="182"/>
  <c r="Q34" i="182" s="1"/>
  <c r="B34" i="182"/>
  <c r="P34" i="182" s="1"/>
  <c r="G33" i="182"/>
  <c r="Q33" i="182" s="1"/>
  <c r="B33" i="182"/>
  <c r="P33" i="182" s="1"/>
  <c r="G32" i="182"/>
  <c r="Q32" i="182" s="1"/>
  <c r="B32" i="182"/>
  <c r="P32" i="182" s="1"/>
  <c r="G31" i="182"/>
  <c r="Q31" i="182" s="1"/>
  <c r="B31" i="182"/>
  <c r="P31" i="182" s="1"/>
  <c r="G30" i="182"/>
  <c r="Q30" i="182" s="1"/>
  <c r="B30" i="182"/>
  <c r="P30" i="182" s="1"/>
  <c r="G29" i="182"/>
  <c r="Q29" i="182" s="1"/>
  <c r="B29" i="182"/>
  <c r="P29" i="182" s="1"/>
  <c r="G28" i="182"/>
  <c r="Q28" i="182" s="1"/>
  <c r="B28" i="182"/>
  <c r="P28" i="182" s="1"/>
  <c r="G27" i="182"/>
  <c r="Q27" i="182" s="1"/>
  <c r="B27" i="182"/>
  <c r="P27" i="182" s="1"/>
  <c r="G26" i="182"/>
  <c r="Q26" i="182" s="1"/>
  <c r="B26" i="182"/>
  <c r="P26" i="182" s="1"/>
  <c r="G25" i="182"/>
  <c r="Q25" i="182" s="1"/>
  <c r="B25" i="182"/>
  <c r="P25" i="182" s="1"/>
  <c r="G24" i="182"/>
  <c r="B24" i="182"/>
  <c r="P24" i="182" s="1"/>
  <c r="G23" i="182"/>
  <c r="B23" i="182"/>
  <c r="P23" i="182" s="1"/>
  <c r="G22" i="182"/>
  <c r="Q22" i="182" s="1"/>
  <c r="B22" i="182"/>
  <c r="P22" i="182" s="1"/>
  <c r="G21" i="182"/>
  <c r="Q21" i="182" s="1"/>
  <c r="B21" i="182"/>
  <c r="P21" i="182" s="1"/>
  <c r="G20" i="182"/>
  <c r="Q20" i="182" s="1"/>
  <c r="B20" i="182"/>
  <c r="P20" i="182" s="1"/>
  <c r="G19" i="182"/>
  <c r="Q19" i="182" s="1"/>
  <c r="B19" i="182"/>
  <c r="P19" i="182" s="1"/>
  <c r="G18" i="182"/>
  <c r="Q18" i="182" s="1"/>
  <c r="B18" i="182"/>
  <c r="P18" i="182" s="1"/>
  <c r="G17" i="182"/>
  <c r="B17" i="182"/>
  <c r="P17" i="182" s="1"/>
  <c r="G16" i="182"/>
  <c r="Q16" i="182" s="1"/>
  <c r="B16" i="182"/>
  <c r="P16" i="182" s="1"/>
  <c r="G15" i="182"/>
  <c r="Q15" i="182" s="1"/>
  <c r="B15" i="182"/>
  <c r="P15" i="182" s="1"/>
  <c r="G14" i="182"/>
  <c r="Q14" i="182" s="1"/>
  <c r="B14" i="182"/>
  <c r="P14" i="182" s="1"/>
  <c r="G13" i="182"/>
  <c r="Q13" i="182" s="1"/>
  <c r="B13" i="182"/>
  <c r="P13" i="182" s="1"/>
  <c r="G45" i="181"/>
  <c r="Q45" i="181" s="1"/>
  <c r="B45" i="181"/>
  <c r="P45" i="181" s="1"/>
  <c r="G47" i="181"/>
  <c r="Q47" i="181" s="1"/>
  <c r="B47" i="181"/>
  <c r="P47" i="181" s="1"/>
  <c r="G46" i="181"/>
  <c r="Q46" i="181" s="1"/>
  <c r="B46" i="181"/>
  <c r="P46" i="181" s="1"/>
  <c r="G44" i="181"/>
  <c r="Q44" i="181" s="1"/>
  <c r="B44" i="181"/>
  <c r="P44" i="181" s="1"/>
  <c r="G43" i="181"/>
  <c r="Q43" i="181" s="1"/>
  <c r="B43" i="181"/>
  <c r="P43" i="181" s="1"/>
  <c r="G42" i="181"/>
  <c r="Q42" i="181" s="1"/>
  <c r="B42" i="181"/>
  <c r="P42" i="181" s="1"/>
  <c r="G41" i="181"/>
  <c r="Q41" i="181" s="1"/>
  <c r="B41" i="181"/>
  <c r="P41" i="181" s="1"/>
  <c r="G40" i="181"/>
  <c r="Q40" i="181" s="1"/>
  <c r="B40" i="181"/>
  <c r="P40" i="181" s="1"/>
  <c r="G39" i="181"/>
  <c r="Q39" i="181" s="1"/>
  <c r="B39" i="181"/>
  <c r="P39" i="181" s="1"/>
  <c r="G38" i="181"/>
  <c r="Q38" i="181" s="1"/>
  <c r="B38" i="181"/>
  <c r="P38" i="181" s="1"/>
  <c r="G37" i="181"/>
  <c r="Q37" i="181" s="1"/>
  <c r="B37" i="181"/>
  <c r="P37" i="181" s="1"/>
  <c r="G36" i="181"/>
  <c r="Q36" i="181" s="1"/>
  <c r="B36" i="181"/>
  <c r="P36" i="181" s="1"/>
  <c r="G35" i="181"/>
  <c r="Q35" i="181" s="1"/>
  <c r="B35" i="181"/>
  <c r="P35" i="181" s="1"/>
  <c r="G34" i="181"/>
  <c r="Q34" i="181" s="1"/>
  <c r="B34" i="181"/>
  <c r="P34" i="181" s="1"/>
  <c r="G33" i="181"/>
  <c r="Q33" i="181" s="1"/>
  <c r="B33" i="181"/>
  <c r="P33" i="181" s="1"/>
  <c r="G32" i="181"/>
  <c r="Q32" i="181" s="1"/>
  <c r="B32" i="181"/>
  <c r="P32" i="181" s="1"/>
  <c r="G31" i="181"/>
  <c r="Q31" i="181" s="1"/>
  <c r="B31" i="181"/>
  <c r="P31" i="181" s="1"/>
  <c r="G30" i="181"/>
  <c r="Q30" i="181" s="1"/>
  <c r="B30" i="181"/>
  <c r="P30" i="181" s="1"/>
  <c r="G29" i="181"/>
  <c r="Q29" i="181" s="1"/>
  <c r="B29" i="181"/>
  <c r="P29" i="181" s="1"/>
  <c r="G28" i="181"/>
  <c r="Q28" i="181" s="1"/>
  <c r="B28" i="181"/>
  <c r="P28" i="181" s="1"/>
  <c r="G27" i="181"/>
  <c r="Q27" i="181" s="1"/>
  <c r="B27" i="181"/>
  <c r="P27" i="181" s="1"/>
  <c r="G26" i="181"/>
  <c r="Q26" i="181" s="1"/>
  <c r="B26" i="181"/>
  <c r="P26" i="181" s="1"/>
  <c r="G25" i="181"/>
  <c r="Q25" i="181" s="1"/>
  <c r="B25" i="181"/>
  <c r="P25" i="181" s="1"/>
  <c r="G24" i="181"/>
  <c r="Q24" i="181" s="1"/>
  <c r="B24" i="181"/>
  <c r="P24" i="181" s="1"/>
  <c r="G23" i="181"/>
  <c r="Q23" i="181" s="1"/>
  <c r="B23" i="181"/>
  <c r="P23" i="181" s="1"/>
  <c r="G22" i="181"/>
  <c r="Q22" i="181" s="1"/>
  <c r="B22" i="181"/>
  <c r="P22" i="181" s="1"/>
  <c r="G21" i="181"/>
  <c r="Q21" i="181" s="1"/>
  <c r="B21" i="181"/>
  <c r="P21" i="181" s="1"/>
  <c r="G20" i="181"/>
  <c r="Q20" i="181" s="1"/>
  <c r="B20" i="181"/>
  <c r="P20" i="181" s="1"/>
  <c r="G19" i="181"/>
  <c r="Q19" i="181" s="1"/>
  <c r="B19" i="181"/>
  <c r="P19" i="181" s="1"/>
  <c r="G18" i="181"/>
  <c r="Q18" i="181" s="1"/>
  <c r="B18" i="181"/>
  <c r="P18" i="181" s="1"/>
  <c r="G17" i="181"/>
  <c r="B17" i="181"/>
  <c r="P17" i="181" s="1"/>
  <c r="G16" i="181"/>
  <c r="Q16" i="181" s="1"/>
  <c r="B16" i="181"/>
  <c r="P16" i="181" s="1"/>
  <c r="G15" i="181"/>
  <c r="Q15" i="181" s="1"/>
  <c r="B15" i="181"/>
  <c r="P15" i="181" s="1"/>
  <c r="G14" i="181"/>
  <c r="Q14" i="181" s="1"/>
  <c r="B14" i="181"/>
  <c r="P14" i="181" s="1"/>
  <c r="G13" i="181"/>
  <c r="Q13" i="181" s="1"/>
  <c r="B13" i="181"/>
  <c r="P13" i="181" s="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Q47" i="179" s="1"/>
  <c r="G46" i="179"/>
  <c r="Q46" i="179" s="1"/>
  <c r="G45" i="179"/>
  <c r="Q45" i="179" s="1"/>
  <c r="G44" i="179"/>
  <c r="Q44" i="179" s="1"/>
  <c r="G43" i="179"/>
  <c r="Q43" i="179" s="1"/>
  <c r="G42" i="179"/>
  <c r="Q42" i="179" s="1"/>
  <c r="G41" i="179"/>
  <c r="Q41" i="179" s="1"/>
  <c r="G40" i="179"/>
  <c r="Q40" i="179" s="1"/>
  <c r="G39" i="179"/>
  <c r="Q39" i="179" s="1"/>
  <c r="G38" i="179"/>
  <c r="Q38" i="179" s="1"/>
  <c r="G37" i="179"/>
  <c r="Q37" i="179" s="1"/>
  <c r="G36" i="179"/>
  <c r="Q36" i="179" s="1"/>
  <c r="G35" i="179"/>
  <c r="Q35" i="179" s="1"/>
  <c r="G34" i="179"/>
  <c r="Q34" i="179" s="1"/>
  <c r="G33" i="179"/>
  <c r="Q33" i="179" s="1"/>
  <c r="G32" i="179"/>
  <c r="Q32" i="179" s="1"/>
  <c r="G31" i="179"/>
  <c r="Q31" i="179" s="1"/>
  <c r="G30" i="179"/>
  <c r="Q30" i="179" s="1"/>
  <c r="G29" i="179"/>
  <c r="Q29" i="179" s="1"/>
  <c r="G28" i="179"/>
  <c r="Q28" i="179" s="1"/>
  <c r="G27" i="179"/>
  <c r="Q27" i="179" s="1"/>
  <c r="G26" i="179"/>
  <c r="Q26" i="179" s="1"/>
  <c r="G25" i="179"/>
  <c r="Q25" i="179" s="1"/>
  <c r="G24" i="179"/>
  <c r="Q24" i="179" s="1"/>
  <c r="G23" i="179"/>
  <c r="Q23" i="179" s="1"/>
  <c r="G22" i="179"/>
  <c r="Q22" i="179" s="1"/>
  <c r="G21" i="179"/>
  <c r="Q21" i="179" s="1"/>
  <c r="G20" i="179"/>
  <c r="Q20" i="179" s="1"/>
  <c r="G19" i="179"/>
  <c r="Q19" i="179" s="1"/>
  <c r="G18" i="179"/>
  <c r="Q18" i="179" s="1"/>
  <c r="G17" i="179"/>
  <c r="G16" i="179"/>
  <c r="Q16" i="179" s="1"/>
  <c r="G15" i="179"/>
  <c r="Q15" i="179" s="1"/>
  <c r="G14" i="179"/>
  <c r="Q14" i="179" s="1"/>
  <c r="G13" i="179"/>
  <c r="Q13" i="179" s="1"/>
  <c r="R17" i="181" l="1"/>
  <c r="Q17" i="181"/>
  <c r="Q23" i="182"/>
  <c r="R23" i="182"/>
  <c r="R24" i="182"/>
  <c r="Q24" i="182"/>
  <c r="Q17" i="179"/>
  <c r="R17" i="179"/>
  <c r="R17" i="182"/>
  <c r="Q17" i="182"/>
  <c r="BK154" i="25"/>
  <c r="BK183" i="25"/>
  <c r="BK150" i="25"/>
  <c r="BK147" i="25"/>
  <c r="B45" i="179"/>
  <c r="P45" i="179" s="1"/>
  <c r="BK104" i="25"/>
  <c r="BK103" i="25"/>
  <c r="B47" i="179"/>
  <c r="P47" i="179" s="1"/>
  <c r="B46" i="179"/>
  <c r="P46" i="179" s="1"/>
  <c r="B44" i="179"/>
  <c r="P44" i="179" s="1"/>
  <c r="B43" i="179"/>
  <c r="P43" i="179" s="1"/>
  <c r="B42" i="179"/>
  <c r="P42" i="179" s="1"/>
  <c r="B41" i="179"/>
  <c r="P41" i="179" s="1"/>
  <c r="B40" i="179"/>
  <c r="P40" i="179" s="1"/>
  <c r="B39" i="179"/>
  <c r="P39" i="179" s="1"/>
  <c r="B38" i="179"/>
  <c r="P38" i="179" s="1"/>
  <c r="B37" i="179"/>
  <c r="P37" i="179" s="1"/>
  <c r="B36" i="179"/>
  <c r="P36" i="179" s="1"/>
  <c r="B35" i="179"/>
  <c r="P35" i="179" s="1"/>
  <c r="B34" i="179"/>
  <c r="P34" i="179" s="1"/>
  <c r="B33" i="179"/>
  <c r="P33" i="179" s="1"/>
  <c r="B32" i="179"/>
  <c r="P32" i="179" s="1"/>
  <c r="B31" i="179"/>
  <c r="P31" i="179" s="1"/>
  <c r="B30" i="179"/>
  <c r="P30" i="179" s="1"/>
  <c r="B29" i="179"/>
  <c r="P29" i="179" s="1"/>
  <c r="B28" i="179"/>
  <c r="P28" i="179" s="1"/>
  <c r="B27" i="179"/>
  <c r="P27" i="179" s="1"/>
  <c r="B26" i="179"/>
  <c r="P26" i="179" s="1"/>
  <c r="B25" i="179"/>
  <c r="P25" i="179" s="1"/>
  <c r="B24" i="179"/>
  <c r="P24" i="179" s="1"/>
  <c r="B23" i="179"/>
  <c r="P23" i="179" s="1"/>
  <c r="B22" i="179"/>
  <c r="P22" i="179" s="1"/>
  <c r="B21" i="179"/>
  <c r="P21" i="179" s="1"/>
  <c r="B20" i="179"/>
  <c r="P20" i="179" s="1"/>
  <c r="B19" i="179"/>
  <c r="P19" i="179" s="1"/>
  <c r="B18" i="179"/>
  <c r="P18" i="179" s="1"/>
  <c r="B17" i="179"/>
  <c r="P17" i="179" s="1"/>
  <c r="B16" i="179"/>
  <c r="P16" i="179" s="1"/>
  <c r="B15" i="179"/>
  <c r="P15" i="179" s="1"/>
  <c r="B14" i="179"/>
  <c r="P14" i="179" s="1"/>
  <c r="B13" i="179"/>
  <c r="P13" i="179" s="1"/>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50" i="25"/>
  <c r="AM105" i="25"/>
  <c r="AM183" i="25"/>
  <c r="AM106" i="25"/>
  <c r="AM147" i="25"/>
  <c r="AM154" i="25"/>
  <c r="AM101" i="25"/>
  <c r="BK105" i="25" l="1"/>
  <c r="BK102" i="25"/>
  <c r="BK106" i="25"/>
  <c r="R175" i="178"/>
  <c r="R163" i="178"/>
  <c r="R151" i="178"/>
  <c r="R139" i="178"/>
  <c r="R127" i="178"/>
  <c r="AM104" i="25"/>
  <c r="AM102" i="25"/>
  <c r="AM103" i="25"/>
  <c r="C125" i="178" l="1"/>
  <c r="W125" i="178" s="1"/>
  <c r="C124" i="178"/>
  <c r="W124" i="178" s="1"/>
  <c r="C173" i="178"/>
  <c r="W173" i="178" s="1"/>
  <c r="C172" i="178"/>
  <c r="W172" i="178" s="1"/>
  <c r="C137" i="178"/>
  <c r="W137" i="178" s="1"/>
  <c r="C136" i="178"/>
  <c r="W136" i="178" s="1"/>
  <c r="C149" i="178"/>
  <c r="W149" i="178" s="1"/>
  <c r="C148" i="178"/>
  <c r="W148" i="178" s="1"/>
  <c r="C161" i="178"/>
  <c r="W161" i="178" s="1"/>
  <c r="C160" i="178"/>
  <c r="W160" i="178" s="1"/>
  <c r="R1073" i="174"/>
  <c r="R1061" i="174"/>
  <c r="C1058" i="174" s="1"/>
  <c r="W1058" i="174" s="1"/>
  <c r="R1049" i="174"/>
  <c r="R1037" i="174"/>
  <c r="R1025" i="174"/>
  <c r="R1013" i="174"/>
  <c r="C1011" i="174" l="1"/>
  <c r="W1011" i="174" s="1"/>
  <c r="C1010" i="174"/>
  <c r="W1010" i="174" s="1"/>
  <c r="C1071" i="174"/>
  <c r="W1071" i="174" s="1"/>
  <c r="C1070" i="174"/>
  <c r="W1070" i="174" s="1"/>
  <c r="C1035" i="174"/>
  <c r="W1035" i="174" s="1"/>
  <c r="C1034" i="174"/>
  <c r="W1034" i="174" s="1"/>
  <c r="C1047" i="174"/>
  <c r="W1047" i="174" s="1"/>
  <c r="C1046" i="174"/>
  <c r="W1046" i="174" s="1"/>
  <c r="C1023" i="174"/>
  <c r="W1023" i="174" s="1"/>
  <c r="C1022" i="174"/>
  <c r="W1022" i="174" s="1"/>
  <c r="C1059" i="174"/>
  <c r="W1059" i="174" s="1"/>
  <c r="S13" i="172" l="1"/>
  <c r="B46" i="172" l="1"/>
  <c r="B23" i="172"/>
  <c r="B22" i="172"/>
  <c r="B21" i="172"/>
  <c r="B20" i="172"/>
  <c r="B19" i="172"/>
  <c r="B18" i="172"/>
  <c r="B17" i="172"/>
  <c r="B16" i="172"/>
  <c r="B15" i="172"/>
  <c r="B14" i="172"/>
  <c r="B13" i="172"/>
  <c r="P13" i="172" s="1"/>
  <c r="BK101" i="25"/>
  <c r="A101" i="25" l="1"/>
  <c r="D6" i="334" l="1"/>
  <c r="D4" i="336"/>
  <c r="D4" i="192"/>
  <c r="D5" i="345"/>
  <c r="D8" i="345" s="1"/>
  <c r="D4" i="335"/>
  <c r="D6" i="341"/>
  <c r="D4" i="341"/>
  <c r="D4" i="333"/>
  <c r="D6" i="333"/>
  <c r="D5" i="346"/>
  <c r="D8" i="346" s="1"/>
  <c r="D5" i="334"/>
  <c r="D8" i="334" s="1"/>
  <c r="D6" i="337"/>
  <c r="D5" i="194"/>
  <c r="D8" i="194" s="1"/>
  <c r="D6" i="336"/>
  <c r="D6" i="339"/>
  <c r="D4" i="338"/>
  <c r="D4" i="346"/>
  <c r="D4" i="342"/>
  <c r="D4" i="195"/>
  <c r="D4" i="334"/>
  <c r="D5" i="337"/>
  <c r="D8" i="337" s="1"/>
  <c r="D6" i="195"/>
  <c r="D5" i="195"/>
  <c r="D8" i="195" s="1"/>
  <c r="D4" i="347"/>
  <c r="D5" i="333"/>
  <c r="D8" i="333" s="1"/>
  <c r="D6" i="194"/>
  <c r="D5" i="336"/>
  <c r="D8" i="336" s="1"/>
  <c r="D4" i="345"/>
  <c r="D5" i="338"/>
  <c r="D8" i="338" s="1"/>
  <c r="D5" i="347"/>
  <c r="D8" i="347" s="1"/>
  <c r="D6" i="192"/>
  <c r="D6" i="346"/>
  <c r="D4" i="194"/>
  <c r="D6" i="342"/>
  <c r="D4" i="344"/>
  <c r="D4" i="193"/>
  <c r="D6" i="343"/>
  <c r="D5" i="344"/>
  <c r="D8" i="344" s="1"/>
  <c r="D6" i="196"/>
  <c r="D5" i="339"/>
  <c r="D8" i="339" s="1"/>
  <c r="D5" i="342"/>
  <c r="D8" i="342" s="1"/>
  <c r="D5" i="340"/>
  <c r="D8" i="340" s="1"/>
  <c r="D6" i="347"/>
  <c r="D4" i="343"/>
  <c r="D5" i="343"/>
  <c r="D8" i="343" s="1"/>
  <c r="D6" i="193"/>
  <c r="D4" i="339"/>
  <c r="D4" i="337"/>
  <c r="D6" i="338"/>
  <c r="D6" i="345"/>
  <c r="D6" i="344"/>
  <c r="D5" i="193"/>
  <c r="D8" i="193" s="1"/>
  <c r="D6" i="335"/>
  <c r="D5" i="192"/>
  <c r="D8" i="192" s="1"/>
  <c r="D5" i="335"/>
  <c r="D8" i="335" s="1"/>
  <c r="D4" i="340"/>
  <c r="D5" i="341"/>
  <c r="D8" i="341" s="1"/>
  <c r="D5" i="196"/>
  <c r="D8" i="196" s="1"/>
  <c r="D4" i="196"/>
  <c r="D6" i="340"/>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148" i="25"/>
  <c r="AE43" i="25"/>
  <c r="AE114" i="25"/>
  <c r="AE120" i="25"/>
  <c r="AE123" i="25"/>
  <c r="AE174" i="25"/>
  <c r="AE171" i="25"/>
  <c r="AE134" i="25"/>
  <c r="AE66" i="25"/>
  <c r="AE18" i="25"/>
  <c r="AE90" i="25"/>
  <c r="AE119" i="25"/>
  <c r="AE101" i="25"/>
  <c r="AE53" i="25"/>
  <c r="AE8" i="25"/>
  <c r="AE49" i="25"/>
  <c r="AE115" i="25"/>
  <c r="AE139" i="25"/>
  <c r="AE63" i="25"/>
  <c r="AE176" i="25"/>
  <c r="AE69" i="25"/>
  <c r="AE22" i="25"/>
  <c r="AE121" i="25"/>
  <c r="AE44" i="25"/>
  <c r="AE144" i="25"/>
  <c r="AE128" i="25"/>
  <c r="AE116" i="25"/>
  <c r="AE179" i="25"/>
  <c r="AE137" i="25"/>
  <c r="AE35" i="25"/>
  <c r="AE47" i="25"/>
  <c r="AE175" i="25"/>
  <c r="AE59" i="25"/>
  <c r="AE40" i="25"/>
  <c r="AE142" i="25"/>
  <c r="AE158" i="25"/>
  <c r="AE172" i="25"/>
  <c r="AE91" i="25"/>
  <c r="AE156" i="25"/>
  <c r="AE26" i="25"/>
  <c r="AE76" i="25"/>
  <c r="AE81" i="25"/>
  <c r="AE109" i="25"/>
  <c r="AE95" i="25"/>
  <c r="AE60" i="25"/>
  <c r="AE75" i="25"/>
  <c r="AE170" i="25"/>
  <c r="AE31" i="25"/>
  <c r="AE70" i="25"/>
  <c r="AE167" i="25"/>
  <c r="AE138" i="25"/>
  <c r="AE34" i="25"/>
  <c r="AE78" i="25"/>
  <c r="AE84" i="25"/>
  <c r="AE151" i="25"/>
  <c r="AE54" i="25"/>
  <c r="AE141" i="25"/>
  <c r="AE127" i="25"/>
  <c r="AE56" i="25"/>
  <c r="AE61" i="25"/>
  <c r="AE157" i="25"/>
  <c r="AE24" i="25"/>
  <c r="AE27" i="25"/>
  <c r="AE106" i="25"/>
  <c r="AE126" i="25"/>
  <c r="AE50" i="25"/>
  <c r="AE178" i="25"/>
  <c r="AE140" i="25"/>
  <c r="AE13" i="25"/>
  <c r="AE6" i="25"/>
  <c r="AE133" i="25"/>
  <c r="AE15" i="25"/>
  <c r="AE42" i="25"/>
  <c r="AE162" i="25"/>
  <c r="AE117" i="25"/>
  <c r="AE108" i="25"/>
  <c r="AE112" i="25"/>
  <c r="AE83" i="25"/>
  <c r="AE73" i="25"/>
  <c r="AE146" i="25"/>
  <c r="AE38" i="25"/>
  <c r="AE155" i="25"/>
  <c r="AE77" i="25"/>
  <c r="AE19" i="25"/>
  <c r="AE150" i="25"/>
  <c r="AE130" i="25"/>
  <c r="AE122" i="25"/>
  <c r="AE180" i="25"/>
  <c r="AE182" i="25"/>
  <c r="AE87" i="25"/>
  <c r="AE161" i="25"/>
  <c r="AE14" i="25"/>
  <c r="AE105" i="25"/>
  <c r="AE166" i="25"/>
  <c r="AE85" i="25"/>
  <c r="AE129" i="25"/>
  <c r="AE21" i="25"/>
  <c r="AE48" i="25"/>
  <c r="AE25" i="25"/>
  <c r="AE94" i="25"/>
  <c r="AE62" i="25"/>
  <c r="AE98" i="25"/>
  <c r="AE96" i="25"/>
  <c r="AE28" i="25"/>
  <c r="AE163" i="25"/>
  <c r="AE10" i="25"/>
  <c r="AE89" i="25"/>
  <c r="AE65" i="25"/>
  <c r="AE93" i="25"/>
  <c r="AE23" i="25"/>
  <c r="AE55" i="25"/>
  <c r="AE124" i="25"/>
  <c r="AE46" i="25"/>
  <c r="AE131" i="25"/>
  <c r="AE20" i="25"/>
  <c r="AE118" i="25"/>
  <c r="AE132" i="25"/>
  <c r="AE143" i="25"/>
  <c r="AE32" i="25"/>
  <c r="AE64" i="25"/>
  <c r="AE169" i="25"/>
  <c r="AE136" i="25"/>
  <c r="AE152" i="25"/>
  <c r="AE16" i="25"/>
  <c r="AE183" i="25"/>
  <c r="AE68" i="25"/>
  <c r="AE12" i="25"/>
  <c r="AE72" i="25"/>
  <c r="AE11" i="25"/>
  <c r="AE88" i="25"/>
  <c r="AE29" i="25"/>
  <c r="AE82" i="25"/>
  <c r="AE67" i="25"/>
  <c r="AE164" i="25"/>
  <c r="AE160" i="25"/>
  <c r="AE37" i="25"/>
  <c r="AE86" i="25"/>
  <c r="AE107" i="25"/>
  <c r="AE165" i="25"/>
  <c r="AE100" i="25"/>
  <c r="AE135" i="25"/>
  <c r="AE111" i="25"/>
  <c r="AE51" i="25"/>
  <c r="AE36" i="25"/>
  <c r="AE173" i="25"/>
  <c r="AE33" i="25"/>
  <c r="AE149" i="25"/>
  <c r="AE97" i="25"/>
  <c r="AE52" i="25"/>
  <c r="AE79" i="25"/>
  <c r="AE113" i="25"/>
  <c r="AE17" i="25"/>
  <c r="AE80" i="25"/>
  <c r="AE74" i="25"/>
  <c r="AE154" i="25"/>
  <c r="AE7" i="25"/>
  <c r="AE125" i="25"/>
  <c r="AE57" i="25"/>
  <c r="AE147" i="25"/>
  <c r="AE92" i="25"/>
  <c r="AE110" i="25"/>
  <c r="AE168" i="25"/>
  <c r="AE71" i="25"/>
  <c r="AE45" i="25"/>
  <c r="AE181" i="25"/>
  <c r="AE58" i="25"/>
  <c r="AE159" i="25"/>
  <c r="AE145" i="25"/>
  <c r="AE9" i="25"/>
  <c r="AE177" i="25"/>
  <c r="AE41" i="25"/>
  <c r="AE39" i="25"/>
  <c r="AS14" i="189" l="1"/>
  <c r="AS13" i="189"/>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4" i="188"/>
  <c r="N11" i="188"/>
  <c r="N10"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5" i="189"/>
  <c r="AS10" i="189"/>
  <c r="AJ10" i="189"/>
  <c r="N10" i="189"/>
  <c r="AS16" i="189"/>
  <c r="AS13" i="190"/>
  <c r="AS10" i="190"/>
  <c r="AS15" i="190"/>
  <c r="AJ10" i="190"/>
  <c r="N10" i="190"/>
  <c r="AJ11" i="190"/>
  <c r="AS14" i="190"/>
  <c r="AS12" i="190"/>
  <c r="N11" i="190"/>
  <c r="AS23" i="191"/>
  <c r="AS15" i="191"/>
  <c r="AJ11" i="191"/>
  <c r="AS12" i="191"/>
  <c r="AS18" i="191"/>
  <c r="N11" i="191"/>
  <c r="AS17" i="191"/>
  <c r="AS20" i="191"/>
  <c r="AS21" i="191"/>
  <c r="AS13" i="191"/>
  <c r="AS10" i="191"/>
  <c r="AS22" i="191"/>
  <c r="AS24" i="191"/>
  <c r="AS16" i="191"/>
  <c r="AJ10" i="191"/>
  <c r="AS19" i="191"/>
  <c r="N10" i="191"/>
  <c r="AS14"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3" i="25"/>
  <c r="AE104" i="25"/>
  <c r="AE102"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<sst xmlns="http://schemas.openxmlformats.org/spreadsheetml/2006/main" count="20575" uniqueCount="3851">
  <si>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</si>
  <si>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</si>
  <si>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</si>
  <si>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</si>
  <si>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</si>
  <si>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</si>
  <si>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</si>
  <si>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</si>
  <si>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</si>
  <si>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</si>
  <si>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</si>
  <si>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</si>
  <si>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</si>
  <si>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</si>
  <si>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</si>
  <si>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</si>
  <si>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</si>
  <si>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</si>
  <si>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</si>
  <si>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</si>
  <si>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</si>
  <si>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</si>
  <si>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</si>
  <si>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</si>
  <si>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</si>
  <si>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</si>
  <si>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</si>
  <si>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</si>
  <si>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</si>
  <si>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</si>
  <si>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</si>
  <si>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</si>
  <si>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</si>
  <si>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</si>
  <si>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</si>
  <si>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</si>
  <si>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</si>
  <si>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</si>
  <si>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</si>
  <si>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</si>
  <si>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</si>
  <si>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</si>
  <si>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</si>
  <si>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</si>
  <si>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</si>
  <si>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</si>
  <si>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</si>
  <si>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</si>
  <si>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</si>
  <si>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</si>
  <si>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</si>
  <si>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</si>
  <si>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</si>
  <si>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</si>
  <si>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</si>
  <si>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</si>
  <si>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</si>
  <si>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</si>
  <si>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</si>
  <si>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</si>
  <si>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</si>
  <si>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</si>
  <si>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</si>
  <si>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</si>
  <si>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</si>
  <si>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</si>
  <si>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</si>
  <si>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</si>
  <si>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</si>
  <si>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</si>
  <si>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</si>
  <si>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</si>
  <si>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</si>
  <si>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</si>
  <si>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</si>
  <si>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</si>
  <si>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8"/>
  </si>
  <si>
    <t>serial8</t>
    <phoneticPr fontId="8"/>
  </si>
  <si>
    <t>varbit</t>
    <phoneticPr fontId="8"/>
  </si>
  <si>
    <t>bool</t>
    <phoneticPr fontId="8"/>
  </si>
  <si>
    <r>
      <t>varchar [ (</t>
    </r>
    <r>
      <rPr>
        <i/>
        <sz val="10"/>
        <color rgb="FF000000"/>
        <rFont val="Arial Unicode MS"/>
        <family val="3"/>
        <charset val="128"/>
      </rPr>
      <t>n</t>
    </r>
    <r>
      <rPr>
        <sz val="10"/>
        <color rgb="FF000000"/>
        <rFont val="Arial Unicode MS"/>
        <family val="3"/>
        <charset val="128"/>
      </rPr>
      <t>) ]</t>
    </r>
    <phoneticPr fontId="8"/>
  </si>
  <si>
    <r>
      <t>char [ (</t>
    </r>
    <r>
      <rPr>
        <i/>
        <sz val="10"/>
        <color rgb="FF000000"/>
        <rFont val="Arial Unicode MS"/>
        <family val="3"/>
        <charset val="128"/>
      </rPr>
      <t>n</t>
    </r>
    <r>
      <rPr>
        <sz val="10"/>
        <color rgb="FF000000"/>
        <rFont val="Arial Unicode MS"/>
        <family val="3"/>
        <charset val="128"/>
      </rPr>
      <t>) ]</t>
    </r>
    <phoneticPr fontId="8"/>
  </si>
  <si>
    <t>float8</t>
    <phoneticPr fontId="8"/>
  </si>
  <si>
    <r>
      <t>int</t>
    </r>
    <r>
      <rPr>
        <sz val="11"/>
        <color rgb="FF000000"/>
        <rFont val="Verdana"/>
        <family val="2"/>
      </rPr>
      <t xml:space="preserve">, </t>
    </r>
    <r>
      <rPr>
        <sz val="10"/>
        <color rgb="FF000000"/>
        <rFont val="Arial Unicode MS"/>
        <family val="3"/>
        <charset val="128"/>
      </rPr>
      <t>int4</t>
    </r>
    <phoneticPr fontId="8"/>
  </si>
  <si>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8"/>
  </si>
  <si>
    <t>float4</t>
    <phoneticPr fontId="8"/>
  </si>
  <si>
    <t>int2</t>
    <phoneticPr fontId="8"/>
  </si>
  <si>
    <t>serial4</t>
    <phoneticPr fontId="8"/>
  </si>
  <si>
    <t>timetz</t>
    <phoneticPr fontId="8"/>
  </si>
  <si>
    <t>timestamptz</t>
    <phoneticPr fontId="8"/>
  </si>
  <si>
    <t>character</t>
  </si>
  <si>
    <t>varchar</t>
  </si>
  <si>
    <t>decimal</t>
  </si>
  <si>
    <t>bigint</t>
    <phoneticPr fontId="8"/>
  </si>
  <si>
    <t>bit</t>
    <phoneticPr fontId="8"/>
  </si>
  <si>
    <t>bit varying</t>
    <phoneticPr fontId="8"/>
  </si>
  <si>
    <t>boolean</t>
    <phoneticPr fontId="8"/>
  </si>
  <si>
    <t>char</t>
    <phoneticPr fontId="8"/>
  </si>
  <si>
    <t>character varying</t>
    <phoneticPr fontId="8"/>
  </si>
  <si>
    <t>date</t>
    <phoneticPr fontId="8"/>
  </si>
  <si>
    <t>interval</t>
    <phoneticPr fontId="8"/>
  </si>
  <si>
    <t>numeric</t>
    <phoneticPr fontId="8"/>
  </si>
  <si>
    <t>smallint</t>
    <phoneticPr fontId="8"/>
  </si>
  <si>
    <t>time（時間帯付き、なしの両方）</t>
    <phoneticPr fontId="8"/>
  </si>
  <si>
    <t>timestamp（時間帯付き、なしの両方）</t>
    <phoneticPr fontId="8"/>
  </si>
  <si>
    <t>互換性: 次に挙げるデータ型（あるいはその綴り方）はSQLで規定されています。</t>
    <phoneticPr fontId="8"/>
  </si>
  <si>
    <t>整数の場合、基本的にこれを使用。例外的にbigint</t>
    <rPh sb="0" eb="2">
      <t>セイスウ</t>
    </rPh>
    <rPh sb="3" eb="5">
      <t>バアイ</t>
    </rPh>
    <rPh sb="6" eb="9">
      <t>キホンテキ</t>
    </rPh>
    <rPh sb="13" eb="15">
      <t>シヨウ</t>
    </rPh>
    <rPh sb="16" eb="18">
      <t>レイガイ</t>
    </rPh>
    <rPh sb="18" eb="19">
      <t>テキ</t>
    </rPh>
    <phoneticPr fontId="8"/>
  </si>
  <si>
    <t>integer</t>
    <phoneticPr fontId="8"/>
  </si>
  <si>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8"/>
  </si>
  <si>
    <t>varcharと同一。基本的にこれを使用。</t>
    <rPh sb="8" eb="10">
      <t>ドウイツ</t>
    </rPh>
    <rPh sb="11" eb="14">
      <t>キホンテキ</t>
    </rPh>
    <rPh sb="18" eb="20">
      <t>シヨウ</t>
    </rPh>
    <phoneticPr fontId="8"/>
  </si>
  <si>
    <t>データモデル定義
テーブル定義書</t>
    <rPh sb="6" eb="8">
      <t>テイギ</t>
    </rPh>
    <rPh sb="13" eb="16">
      <t>テイギショ</t>
    </rPh>
    <phoneticPr fontId="11"/>
  </si>
  <si>
    <t>システム名</t>
    <rPh sb="4" eb="5">
      <t>メイ</t>
    </rPh>
    <phoneticPr fontId="11"/>
  </si>
  <si>
    <t>作成日（作成者）</t>
    <phoneticPr fontId="11"/>
  </si>
  <si>
    <t>更新日（更新者）</t>
    <phoneticPr fontId="11"/>
  </si>
  <si>
    <t>千年カルテ</t>
    <rPh sb="0" eb="2">
      <t>センネン</t>
    </rPh>
    <phoneticPr fontId="11"/>
  </si>
  <si>
    <t>エンティティ名</t>
    <rPh sb="6" eb="7">
      <t>メイ</t>
    </rPh>
    <phoneticPr fontId="11"/>
  </si>
  <si>
    <t>テーブル名</t>
  </si>
  <si>
    <t>説明</t>
    <rPh sb="0" eb="2">
      <t>セツメイ</t>
    </rPh>
    <phoneticPr fontId="11"/>
  </si>
  <si>
    <t>【テーブル定義】</t>
    <rPh sb="5" eb="7">
      <t>テイギ</t>
    </rPh>
    <phoneticPr fontId="11"/>
  </si>
  <si>
    <t>項番</t>
    <rPh sb="0" eb="2">
      <t>コウバン</t>
    </rPh>
    <phoneticPr fontId="11"/>
  </si>
  <si>
    <t>属性名</t>
    <phoneticPr fontId="15"/>
  </si>
  <si>
    <t>カラム名</t>
    <phoneticPr fontId="15"/>
  </si>
  <si>
    <t>論理データ型</t>
    <rPh sb="0" eb="2">
      <t>ロンリ</t>
    </rPh>
    <rPh sb="5" eb="6">
      <t>カタ</t>
    </rPh>
    <phoneticPr fontId="11"/>
  </si>
  <si>
    <t>物理データ型</t>
    <rPh sb="0" eb="2">
      <t>ブツリ</t>
    </rPh>
    <rPh sb="5" eb="6">
      <t>カタ</t>
    </rPh>
    <phoneticPr fontId="11"/>
  </si>
  <si>
    <t>デフォルト値</t>
    <rPh sb="5" eb="6">
      <t>チ</t>
    </rPh>
    <phoneticPr fontId="11"/>
  </si>
  <si>
    <t>非ヌル制約</t>
    <rPh sb="0" eb="1">
      <t>ヒ</t>
    </rPh>
    <rPh sb="3" eb="5">
      <t>セイヤク</t>
    </rPh>
    <phoneticPr fontId="11"/>
  </si>
  <si>
    <t>説明</t>
    <phoneticPr fontId="11"/>
  </si>
  <si>
    <t>○</t>
  </si>
  <si>
    <t>facility_id</t>
  </si>
  <si>
    <t>shiyoryo</t>
  </si>
  <si>
    <t>meisai_tensu</t>
  </si>
  <si>
    <t>ten_kubun</t>
  </si>
  <si>
    <t>koi_meisai_kubun</t>
  </si>
  <si>
    <t>koi_times</t>
  </si>
  <si>
    <t>診療科区分</t>
  </si>
  <si>
    <t>department_kubun</t>
  </si>
  <si>
    <t>テーブル名</t>
    <rPh sb="4" eb="5">
      <t>メイ</t>
    </rPh>
    <phoneticPr fontId="11"/>
  </si>
  <si>
    <t>施設ID</t>
  </si>
  <si>
    <t>データモデル定義
エンティティ一覧</t>
    <rPh sb="6" eb="8">
      <t>テイギ</t>
    </rPh>
    <rPh sb="15" eb="17">
      <t>イチラン</t>
    </rPh>
    <phoneticPr fontId="11"/>
  </si>
  <si>
    <t>エンティティ名</t>
    <phoneticPr fontId="11"/>
  </si>
  <si>
    <t>エンティティ一覧</t>
  </si>
  <si>
    <t>(</t>
    <phoneticPr fontId="8"/>
  </si>
  <si>
    <t>);</t>
    <phoneticPr fontId="8"/>
  </si>
  <si>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</si>
  <si>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</si>
  <si>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</si>
  <si>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</si>
  <si>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</si>
  <si>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</si>
  <si>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</si>
  <si>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</si>
  <si>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</si>
  <si>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</si>
  <si>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</si>
  <si>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</si>
  <si>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</si>
  <si>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</si>
  <si>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1"/>
  </si>
  <si>
    <t>SQL名</t>
    <rPh sb="3" eb="4">
      <t>メイ</t>
    </rPh>
    <phoneticPr fontId="8"/>
  </si>
  <si>
    <t>処理内容</t>
    <rPh sb="0" eb="4">
      <t>ショリナイヨウ</t>
    </rPh>
    <phoneticPr fontId="8"/>
  </si>
  <si>
    <t>エンティティ
ID</t>
    <phoneticPr fontId="15"/>
  </si>
  <si>
    <t>主キー</t>
    <rPh sb="0" eb="1">
      <t>シュ</t>
    </rPh>
    <phoneticPr fontId="11"/>
  </si>
  <si>
    <t>milscm4</t>
    <phoneticPr fontId="11"/>
  </si>
  <si>
    <t>SQL_ID</t>
    <phoneticPr fontId="8"/>
  </si>
  <si>
    <t>作業フェーズ名</t>
    <rPh sb="0" eb="2">
      <t>サギョウ</t>
    </rPh>
    <rPh sb="6" eb="7">
      <t>メイ</t>
    </rPh>
    <phoneticPr fontId="15"/>
  </si>
  <si>
    <t>作業フェーズID</t>
    <rPh sb="0" eb="2">
      <t>サギョウ</t>
    </rPh>
    <phoneticPr fontId="15"/>
  </si>
  <si>
    <t>DPC調査データ_Dファイル_結合</t>
    <rPh sb="3" eb="5">
      <t>チョウサ</t>
    </rPh>
    <rPh sb="15" eb="17">
      <t>ケツゴウ</t>
    </rPh>
    <phoneticPr fontId="11"/>
  </si>
  <si>
    <t>milscm_2023_006</t>
    <phoneticPr fontId="11"/>
  </si>
  <si>
    <t>DPC調査データ_入院EF統合ファイル_結合</t>
    <rPh sb="3" eb="5">
      <t>チョウサ</t>
    </rPh>
    <rPh sb="9" eb="11">
      <t>ニュウイン</t>
    </rPh>
    <rPh sb="13" eb="15">
      <t>トウゴウ</t>
    </rPh>
    <rPh sb="20" eb="22">
      <t>ケツゴウ</t>
    </rPh>
    <phoneticPr fontId="11"/>
  </si>
  <si>
    <t>DPC調査データ_外来EF統合ファイル_結合</t>
    <rPh sb="3" eb="5">
      <t>チョウサ</t>
    </rPh>
    <rPh sb="9" eb="11">
      <t>ガイライ</t>
    </rPh>
    <rPh sb="13" eb="15">
      <t>トウゴウ</t>
    </rPh>
    <rPh sb="20" eb="22">
      <t>ケツゴウ</t>
    </rPh>
    <phoneticPr fontId="11"/>
  </si>
  <si>
    <t>DPC調査データ_Hファイル_結合</t>
    <phoneticPr fontId="11"/>
  </si>
  <si>
    <t>DPC調査データ_様式1_結合</t>
    <rPh sb="3" eb="5">
      <t>チョウサ</t>
    </rPh>
    <rPh sb="9" eb="11">
      <t>ヨウシキ</t>
    </rPh>
    <rPh sb="13" eb="15">
      <t>ケツゴウ</t>
    </rPh>
    <phoneticPr fontId="11"/>
  </si>
  <si>
    <t>DPC調査データ_様式1_診断情報_併存症_結合</t>
    <phoneticPr fontId="11"/>
  </si>
  <si>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1"/>
  </si>
  <si>
    <t>11_01</t>
    <phoneticPr fontId="8"/>
  </si>
  <si>
    <t>組入れ_対象患者</t>
    <rPh sb="4" eb="8">
      <t>タイショウカンジャ</t>
    </rPh>
    <phoneticPr fontId="8"/>
  </si>
  <si>
    <t>21_01</t>
    <phoneticPr fontId="8"/>
  </si>
  <si>
    <t>ファイル</t>
    <phoneticPr fontId="11"/>
  </si>
  <si>
    <t>疾患マスタ</t>
    <rPh sb="0" eb="2">
      <t>シッカン</t>
    </rPh>
    <phoneticPr fontId="8"/>
  </si>
  <si>
    <t>21_02</t>
    <phoneticPr fontId="8"/>
  </si>
  <si>
    <t>バックアップ_DPC調査データ_外来EF統合ファイル</t>
    <phoneticPr fontId="8"/>
  </si>
  <si>
    <t>バックアップ_DPC調査データ_様式1</t>
    <phoneticPr fontId="8"/>
  </si>
  <si>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</si>
  <si>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</si>
  <si>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</si>
  <si>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</si>
  <si>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</si>
  <si>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8"/>
  </si>
  <si>
    <t>組入れ_対象患者</t>
    <rPh sb="4" eb="6">
      <t>タイショウ</t>
    </rPh>
    <rPh sb="6" eb="8">
      <t>カンジャ</t>
    </rPh>
    <phoneticPr fontId="8"/>
  </si>
  <si>
    <t>施設別対象患者数</t>
    <rPh sb="0" eb="3">
      <t>シセツベツ</t>
    </rPh>
    <rPh sb="3" eb="5">
      <t>タイショウ</t>
    </rPh>
    <rPh sb="5" eb="7">
      <t>カンジャ</t>
    </rPh>
    <rPh sb="7" eb="8">
      <t>スウ</t>
    </rPh>
    <phoneticPr fontId="8"/>
  </si>
  <si>
    <t>11_02</t>
    <phoneticPr fontId="8"/>
  </si>
  <si>
    <t>11_03</t>
    <phoneticPr fontId="8"/>
  </si>
  <si>
    <t>バックアップ_DPC調査データ_Dファイル</t>
    <phoneticPr fontId="8"/>
  </si>
  <si>
    <t>バックアップ_DPC調査データ_入院EF統合ファイル</t>
    <phoneticPr fontId="8"/>
  </si>
  <si>
    <t>バックアップ_DPC調査データ_外来EF統合ファイル</t>
    <phoneticPr fontId="8"/>
  </si>
  <si>
    <t>バックアップ_DPC調査データ_Hファイル</t>
    <phoneticPr fontId="8"/>
  </si>
  <si>
    <t>バックアップ_DPC調査データ_様式1</t>
    <phoneticPr fontId="8"/>
  </si>
  <si>
    <t>backup</t>
    <phoneticPr fontId="8"/>
  </si>
  <si>
    <t>enroll</t>
    <phoneticPr fontId="8"/>
  </si>
  <si>
    <t>バックアップ_DPC調査データ_Dファイル</t>
    <phoneticPr fontId="8"/>
  </si>
  <si>
    <t>取込年月</t>
    <rPh sb="0" eb="2">
      <t>トリコミ</t>
    </rPh>
    <rPh sb="2" eb="4">
      <t>ネンゲツ</t>
    </rPh>
    <phoneticPr fontId="3"/>
  </si>
  <si>
    <t>torikomi_ym</t>
  </si>
  <si>
    <t>文字列</t>
    <rPh sb="0" eb="3">
      <t>モジレツ</t>
    </rPh>
    <phoneticPr fontId="3"/>
  </si>
  <si>
    <t>千年カルテID</t>
  </si>
  <si>
    <t>mil_karute_id</t>
  </si>
  <si>
    <t>整数</t>
  </si>
  <si>
    <t>診療年月</t>
    <rPh sb="0" eb="2">
      <t>シンリョウ</t>
    </rPh>
    <rPh sb="2" eb="4">
      <t>ネンゲツ</t>
    </rPh>
    <phoneticPr fontId="3"/>
  </si>
  <si>
    <t>shinryo_ym</t>
  </si>
  <si>
    <t>データ種別</t>
    <rPh sb="3" eb="5">
      <t>シュベツ</t>
    </rPh>
    <phoneticPr fontId="14"/>
  </si>
  <si>
    <t>data_type</t>
  </si>
  <si>
    <t>データ識別番号</t>
    <rPh sb="3" eb="5">
      <t>シキベツ</t>
    </rPh>
    <rPh sb="5" eb="7">
      <t>バンゴウ</t>
    </rPh>
    <phoneticPr fontId="3"/>
  </si>
  <si>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</si>
  <si>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</si>
  <si>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</si>
  <si>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</si>
  <si>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</si>
  <si>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</si>
  <si>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</si>
  <si>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</si>
  <si>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</si>
  <si>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</si>
  <si>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</si>
  <si>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</si>
  <si>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</si>
  <si>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</si>
  <si>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</si>
  <si>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3"/>
  </si>
  <si>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</si>
  <si>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</si>
  <si>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</si>
  <si>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</si>
  <si>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</si>
  <si>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</si>
  <si>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</si>
  <si>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</si>
  <si>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</si>
  <si>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</si>
  <si>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</si>
  <si>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</si>
  <si>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</si>
  <si>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</si>
  <si>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</si>
  <si>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</si>
  <si>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</si>
  <si>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</si>
  <si>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</si>
  <si>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</si>
  <si>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</si>
  <si>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</si>
  <si>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</si>
  <si>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</si>
  <si>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</si>
  <si>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</si>
  <si>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</si>
  <si>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</si>
  <si>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</si>
  <si>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</si>
  <si>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3"/>
  </si>
  <si>
    <t>システムにて通番付与</t>
  </si>
  <si>
    <t>ファイル名の「施設コード」から施設マスタの施設IDを設定</t>
    <rPh sb="4" eb="5">
      <t>メイ</t>
    </rPh>
    <rPh sb="7" eb="9">
      <t>シセツ</t>
    </rPh>
    <phoneticPr fontId="3"/>
  </si>
  <si>
    <t>DPC</t>
  </si>
  <si>
    <t>”DPC”固定</t>
    <rPh sb="5" eb="7">
      <t>コテイ</t>
    </rPh>
    <phoneticPr fontId="3"/>
  </si>
  <si>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</si>
  <si>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</si>
  <si>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</si>
  <si>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</si>
  <si>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5"/>
  </si>
  <si>
    <t>退院年月日</t>
    <rPh sb="0" eb="2">
      <t>タイイン</t>
    </rPh>
    <rPh sb="2" eb="5">
      <t>ネンガッピ</t>
    </rPh>
    <phoneticPr fontId="3"/>
  </si>
  <si>
    <t>入院年月日</t>
    <rPh sb="0" eb="2">
      <t>ニュウイン</t>
    </rPh>
    <rPh sb="2" eb="5">
      <t>ネンガッピ</t>
    </rPh>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</si>
  <si>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</si>
  <si>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</si>
  <si>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</si>
  <si>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</si>
  <si>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</si>
  <si>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</si>
  <si>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</si>
  <si>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基準単位</t>
    <rPh sb="0" eb="2">
      <t>キジュン</t>
    </rPh>
    <rPh sb="2" eb="4">
      <t>タンイ</t>
    </rPh>
    <phoneticPr fontId="3"/>
  </si>
  <si>
    <t>unit</t>
  </si>
  <si>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</si>
  <si>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</si>
  <si>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</si>
  <si>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</si>
  <si>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</si>
  <si>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</si>
  <si>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</si>
  <si>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</si>
  <si>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</si>
  <si>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</si>
  <si>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</si>
  <si>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</si>
  <si>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</si>
  <si>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</si>
  <si>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</si>
  <si>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</si>
  <si>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</si>
  <si>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</si>
  <si>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</si>
  <si>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</si>
  <si>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</si>
  <si>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</si>
  <si>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</si>
  <si>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</si>
  <si>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</si>
  <si>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3"/>
  </si>
  <si>
    <t>1:外来</t>
  </si>
  <si>
    <t>組入れ_対象患者</t>
    <phoneticPr fontId="8"/>
  </si>
  <si>
    <t>mt</t>
    <phoneticPr fontId="8"/>
  </si>
  <si>
    <t>患者マスタ</t>
    <phoneticPr fontId="8"/>
  </si>
  <si>
    <t>疾患マスタ</t>
    <phoneticPr fontId="8"/>
  </si>
  <si>
    <t>base</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</si>
  <si>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</si>
  <si>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</si>
  <si>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</si>
  <si>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</si>
  <si>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</si>
  <si>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バックアップ_DPC調査データ_様式1_診断情報_併存症</t>
    <phoneticPr fontId="8"/>
  </si>
  <si>
    <t>バックアップ_DPC調査データ_様式1_診断情報_続発症</t>
    <phoneticPr fontId="8"/>
  </si>
  <si>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</si>
  <si>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</si>
  <si>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</si>
  <si>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データ種別</t>
    <rPh sb="3" eb="5">
      <t>シュベツ</t>
    </rPh>
    <phoneticPr fontId="13"/>
  </si>
  <si>
    <t>データ識別番号</t>
    <rPh sb="3" eb="5">
      <t>シキベツ</t>
    </rPh>
    <rPh sb="5" eb="7">
      <t>バンゴウ</t>
    </rPh>
    <phoneticPr fontId="2"/>
  </si>
  <si>
    <t>生年月日</t>
    <rPh sb="0" eb="2">
      <t>セイネン</t>
    </rPh>
    <rPh sb="2" eb="4">
      <t>ガッピ</t>
    </rPh>
    <phoneticPr fontId="2"/>
  </si>
  <si>
    <t>birthday</t>
  </si>
  <si>
    <t>外来受診年月日</t>
    <rPh sb="0" eb="2">
      <t>ガイライ</t>
    </rPh>
    <rPh sb="2" eb="4">
      <t>ジュシン</t>
    </rPh>
    <rPh sb="4" eb="7">
      <t>ネンガッピ</t>
    </rPh>
    <phoneticPr fontId="2"/>
  </si>
  <si>
    <t>gairai_ymd</t>
    <phoneticPr fontId="2"/>
  </si>
  <si>
    <t>データ区分</t>
    <rPh sb="3" eb="5">
      <t>クブン</t>
    </rPh>
    <phoneticPr fontId="2"/>
  </si>
  <si>
    <t>順序番号</t>
    <rPh sb="0" eb="2">
      <t>ジュンジョ</t>
    </rPh>
    <rPh sb="2" eb="4">
      <t>バンゴウ</t>
    </rPh>
    <phoneticPr fontId="2"/>
  </si>
  <si>
    <t>行為明細番号</t>
    <rPh sb="0" eb="2">
      <t>コウイ</t>
    </rPh>
    <rPh sb="2" eb="4">
      <t>メイサイ</t>
    </rPh>
    <rPh sb="4" eb="6">
      <t>バンゴウ</t>
    </rPh>
    <phoneticPr fontId="2"/>
  </si>
  <si>
    <t>病院点数マスタコード</t>
    <rPh sb="0" eb="2">
      <t>ビョウイン</t>
    </rPh>
    <rPh sb="2" eb="4">
      <t>テンスウ</t>
    </rPh>
    <phoneticPr fontId="2"/>
  </si>
  <si>
    <t>解釈番号</t>
    <rPh sb="0" eb="2">
      <t>カイシャク</t>
    </rPh>
    <rPh sb="2" eb="4">
      <t>バンゴウ</t>
    </rPh>
    <phoneticPr fontId="2"/>
  </si>
  <si>
    <t>診療明細名称</t>
    <rPh sb="0" eb="2">
      <t>シンリョウ</t>
    </rPh>
    <rPh sb="2" eb="4">
      <t>メイサイ</t>
    </rPh>
    <rPh sb="4" eb="6">
      <t>メイショウ</t>
    </rPh>
    <phoneticPr fontId="2"/>
  </si>
  <si>
    <t>使用量</t>
    <rPh sb="0" eb="2">
      <t>シヨウ</t>
    </rPh>
    <rPh sb="2" eb="3">
      <t>リョウ</t>
    </rPh>
    <phoneticPr fontId="2"/>
  </si>
  <si>
    <t>実数</t>
    <rPh sb="0" eb="2">
      <t>ジッスウ</t>
    </rPh>
    <phoneticPr fontId="2"/>
  </si>
  <si>
    <t>基準単位</t>
    <rPh sb="0" eb="2">
      <t>キジュン</t>
    </rPh>
    <rPh sb="2" eb="4">
      <t>タンイ</t>
    </rPh>
    <phoneticPr fontId="2"/>
  </si>
  <si>
    <t>明細点数・金額</t>
    <rPh sb="0" eb="2">
      <t>メイサイ</t>
    </rPh>
    <rPh sb="2" eb="4">
      <t>テンスウ</t>
    </rPh>
    <rPh sb="5" eb="7">
      <t>キンガク</t>
    </rPh>
    <phoneticPr fontId="2"/>
  </si>
  <si>
    <t>円・点区分</t>
    <rPh sb="0" eb="1">
      <t>エン</t>
    </rPh>
    <rPh sb="2" eb="3">
      <t>テン</t>
    </rPh>
    <rPh sb="3" eb="5">
      <t>クブン</t>
    </rPh>
    <phoneticPr fontId="2"/>
  </si>
  <si>
    <t>出来高実績点数</t>
    <rPh sb="0" eb="2">
      <t>デキ</t>
    </rPh>
    <rPh sb="2" eb="3">
      <t>ダカ</t>
    </rPh>
    <rPh sb="3" eb="5">
      <t>ジッセキ</t>
    </rPh>
    <rPh sb="5" eb="7">
      <t>テンスウ</t>
    </rPh>
    <phoneticPr fontId="2"/>
  </si>
  <si>
    <t>dekidaka_tensu</t>
    <phoneticPr fontId="2"/>
  </si>
  <si>
    <t>行為明細区分情報</t>
    <rPh sb="0" eb="2">
      <t>コウイ</t>
    </rPh>
    <rPh sb="2" eb="4">
      <t>メイサイ</t>
    </rPh>
    <rPh sb="4" eb="6">
      <t>クブン</t>
    </rPh>
    <rPh sb="6" eb="8">
      <t>ジョウホウ</t>
    </rPh>
    <phoneticPr fontId="2"/>
  </si>
  <si>
    <t>行為点数</t>
    <rPh sb="0" eb="2">
      <t>コウイ</t>
    </rPh>
    <rPh sb="2" eb="4">
      <t>テンスウ</t>
    </rPh>
    <phoneticPr fontId="2"/>
  </si>
  <si>
    <t>koi_tensu</t>
    <phoneticPr fontId="2"/>
  </si>
  <si>
    <t>行為薬剤料</t>
    <rPh sb="0" eb="2">
      <t>コウイ</t>
    </rPh>
    <rPh sb="2" eb="4">
      <t>ヤクザイ</t>
    </rPh>
    <rPh sb="4" eb="5">
      <t>リョウ</t>
    </rPh>
    <phoneticPr fontId="2"/>
  </si>
  <si>
    <t>行為材料料</t>
    <rPh sb="0" eb="2">
      <t>コウイ</t>
    </rPh>
    <rPh sb="2" eb="4">
      <t>ザイリョウ</t>
    </rPh>
    <rPh sb="4" eb="5">
      <t>リョウ</t>
    </rPh>
    <phoneticPr fontId="2"/>
  </si>
  <si>
    <t>行為回数</t>
    <rPh sb="0" eb="2">
      <t>コウイ</t>
    </rPh>
    <rPh sb="2" eb="4">
      <t>カイスウ</t>
    </rPh>
    <phoneticPr fontId="2"/>
  </si>
  <si>
    <t>保険者番号</t>
    <rPh sb="0" eb="3">
      <t>ホケンシャ</t>
    </rPh>
    <rPh sb="3" eb="5">
      <t>バンゴウ</t>
    </rPh>
    <phoneticPr fontId="2"/>
  </si>
  <si>
    <t>レセプト種別コード</t>
    <rPh sb="4" eb="6">
      <t>シュベツ</t>
    </rPh>
    <phoneticPr fontId="2"/>
  </si>
  <si>
    <t>実施年月日・診療開始日</t>
    <rPh sb="0" eb="2">
      <t>ジッシ</t>
    </rPh>
    <rPh sb="2" eb="5">
      <t>ネンガッピ</t>
    </rPh>
    <phoneticPr fontId="2"/>
  </si>
  <si>
    <t>レセプト科区分</t>
    <rPh sb="4" eb="5">
      <t>カ</t>
    </rPh>
    <rPh sb="5" eb="7">
      <t>クブン</t>
    </rPh>
    <phoneticPr fontId="2"/>
  </si>
  <si>
    <t>医師コード</t>
    <rPh sb="0" eb="2">
      <t>イシ</t>
    </rPh>
    <phoneticPr fontId="2"/>
  </si>
  <si>
    <t>病棟コード</t>
    <rPh sb="0" eb="2">
      <t>ビョウトウ</t>
    </rPh>
    <phoneticPr fontId="2"/>
  </si>
  <si>
    <t>病棟区分</t>
    <rPh sb="0" eb="2">
      <t>ビョウトウ</t>
    </rPh>
    <rPh sb="2" eb="4">
      <t>クブン</t>
    </rPh>
    <phoneticPr fontId="2"/>
  </si>
  <si>
    <t>入外区分</t>
    <rPh sb="0" eb="1">
      <t>ニュウ</t>
    </rPh>
    <rPh sb="1" eb="2">
      <t>ガイ</t>
    </rPh>
    <rPh sb="2" eb="4">
      <t>クブン</t>
    </rPh>
    <phoneticPr fontId="2"/>
  </si>
  <si>
    <t>施設タイプ</t>
    <rPh sb="0" eb="2">
      <t>シセツ</t>
    </rPh>
    <phoneticPr fontId="2"/>
  </si>
  <si>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</si>
  <si>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</si>
  <si>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</si>
  <si>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"9"固定</t>
    <rPh sb="3" eb="5">
      <t>コテイ</t>
    </rPh>
    <phoneticPr fontId="2"/>
  </si>
  <si>
    <t>バックアップ_DPC調査データ_Hファイル</t>
    <phoneticPr fontId="8"/>
  </si>
  <si>
    <t>コード</t>
  </si>
  <si>
    <t>code</t>
  </si>
  <si>
    <t>バージョン</t>
  </si>
  <si>
    <t>version</t>
  </si>
  <si>
    <t>連番</t>
    <rPh sb="0" eb="2">
      <t>レンバン</t>
    </rPh>
    <phoneticPr fontId="2"/>
  </si>
  <si>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</si>
  <si>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</si>
  <si>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</si>
  <si>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</si>
  <si>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</si>
  <si>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</si>
  <si>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</si>
  <si>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</si>
  <si>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</si>
  <si>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</si>
  <si>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</si>
  <si>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</si>
  <si>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</si>
  <si>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</si>
  <si>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</si>
  <si>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</si>
  <si>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</si>
  <si>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</si>
  <si>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</si>
  <si>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</si>
  <si>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</si>
  <si>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</si>
  <si>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</si>
  <si>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2"/>
  </si>
  <si>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</si>
  <si>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</si>
  <si>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</si>
  <si>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</si>
  <si>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</si>
  <si>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</si>
  <si>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</si>
  <si>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</si>
  <si>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</si>
  <si>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</si>
  <si>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</si>
  <si>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</si>
  <si>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</si>
  <si>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</si>
  <si>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</si>
  <si>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</si>
  <si>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</si>
  <si>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</si>
  <si>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</si>
  <si>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</si>
  <si>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</si>
  <si>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</si>
  <si>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</si>
  <si>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</si>
  <si>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</si>
  <si>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</si>
  <si>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</si>
  <si>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</si>
  <si>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</si>
  <si>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</si>
  <si>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</si>
  <si>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</si>
  <si>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</si>
  <si>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</si>
  <si>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</si>
  <si>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</si>
  <si>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</si>
  <si>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</si>
  <si>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</si>
  <si>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</si>
  <si>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</si>
  <si>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</si>
  <si>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</si>
  <si>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</si>
  <si>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</si>
  <si>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</si>
  <si>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</si>
  <si>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</si>
  <si>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</si>
  <si>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</si>
  <si>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</si>
  <si>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</si>
  <si>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</si>
  <si>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</si>
  <si>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</si>
  <si>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</si>
  <si>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</si>
  <si>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</si>
  <si>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</si>
  <si>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</si>
  <si>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</si>
  <si>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</si>
  <si>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</si>
  <si>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</si>
  <si>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</si>
  <si>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</si>
  <si>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2"/>
  </si>
  <si>
    <t>ass0040_jinko_kokyuki_kanri</t>
  </si>
  <si>
    <t>ass0040_blood_products_kanri</t>
  </si>
  <si>
    <t>肺動脈圧測定（スワンガンツカテーテル）</t>
    <phoneticPr fontId="2"/>
  </si>
  <si>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</si>
  <si>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</si>
  <si>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</si>
  <si>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</si>
  <si>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</si>
  <si>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</si>
  <si>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</si>
  <si>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</si>
  <si>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</si>
  <si>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</si>
  <si>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</si>
  <si>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</si>
  <si>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</si>
  <si>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</si>
  <si>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</si>
  <si>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</si>
  <si>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</si>
  <si>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</si>
  <si>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</si>
  <si>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</si>
  <si>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</si>
  <si>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</si>
  <si>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</si>
  <si>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</si>
  <si>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</si>
  <si>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</si>
  <si>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</si>
  <si>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</si>
  <si>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</si>
  <si>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</si>
  <si>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</si>
  <si>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</si>
  <si>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</si>
  <si>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</si>
  <si>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</si>
  <si>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</si>
  <si>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</si>
  <si>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</si>
  <si>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</si>
  <si>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</si>
  <si>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</si>
  <si>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</si>
  <si>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</si>
  <si>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</si>
  <si>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</si>
  <si>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</si>
  <si>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</si>
  <si>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</si>
  <si>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</si>
  <si>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</si>
  <si>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</si>
  <si>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</si>
  <si>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</si>
  <si>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</si>
  <si>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</si>
  <si>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</si>
  <si>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</si>
  <si>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</si>
  <si>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</si>
  <si>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</si>
  <si>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</si>
  <si>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</si>
  <si>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</si>
  <si>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</si>
  <si>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</si>
  <si>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</si>
  <si>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</si>
  <si>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2"/>
  </si>
  <si>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</si>
  <si>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</si>
  <si>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</si>
  <si>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</si>
  <si>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</si>
  <si>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</si>
  <si>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</si>
  <si>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</si>
  <si>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</si>
  <si>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</si>
  <si>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</si>
  <si>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</si>
  <si>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</si>
  <si>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</si>
  <si>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</si>
  <si>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2"/>
  </si>
  <si>
    <t>20160401</t>
  </si>
  <si>
    <t>”20160401”固定</t>
    <rPh sb="10" eb="12">
      <t>コテイ</t>
    </rPh>
    <phoneticPr fontId="2"/>
  </si>
  <si>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</si>
  <si>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</si>
  <si>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</si>
  <si>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</si>
  <si>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</si>
  <si>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</si>
  <si>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</si>
  <si>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</si>
  <si>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</si>
  <si>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</si>
  <si>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</si>
  <si>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</si>
  <si>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</si>
  <si>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2"/>
  </si>
  <si>
    <t>0: 重症度、医療・看護必要度判定対象
1: 短期滞在手術等基本料算定症例
2: 年齢が 15 歳未満
3: 産科の患者
4: 外泊日（0 時から 24時の間の外泊）
5: 退院日（入院した日に退院した場合は除く）</t>
    <phoneticPr fontId="2"/>
  </si>
  <si>
    <t>処理名</t>
    <rPh sb="0" eb="2">
      <t>ショリ</t>
    </rPh>
    <rPh sb="2" eb="3">
      <t>メイ</t>
    </rPh>
    <phoneticPr fontId="8"/>
  </si>
  <si>
    <t>疾患マスタ（補正後）</t>
    <rPh sb="0" eb="2">
      <t>シッカン</t>
    </rPh>
    <rPh sb="6" eb="9">
      <t>ホセイゴ</t>
    </rPh>
    <phoneticPr fontId="8"/>
  </si>
  <si>
    <t>疾患マスタ（補正後）を疾患マスタに投入する。</t>
    <rPh sb="0" eb="2">
      <t>シッカン</t>
    </rPh>
    <rPh sb="6" eb="9">
      <t>ホセイゴ</t>
    </rPh>
    <rPh sb="17" eb="19">
      <t>トウニュウ</t>
    </rPh>
    <phoneticPr fontId="8"/>
  </si>
  <si>
    <t>work</t>
    <phoneticPr fontId="8"/>
  </si>
  <si>
    <t>select</t>
    <phoneticPr fontId="8"/>
  </si>
  <si>
    <t>ワーク_疾患データ</t>
    <phoneticPr fontId="8"/>
  </si>
  <si>
    <t>入院年月日</t>
    <rPh sb="0" eb="2">
      <t>ニュウイン</t>
    </rPh>
    <rPh sb="2" eb="5">
      <t>ネンガッピ</t>
    </rPh>
    <phoneticPr fontId="2"/>
  </si>
  <si>
    <t>回数管理番号</t>
    <rPh sb="0" eb="2">
      <t>カイスウ</t>
    </rPh>
    <rPh sb="2" eb="4">
      <t>カンリ</t>
    </rPh>
    <rPh sb="4" eb="6">
      <t>バンゴウ</t>
    </rPh>
    <phoneticPr fontId="2"/>
  </si>
  <si>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</si>
  <si>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</si>
  <si>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</si>
  <si>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</si>
  <si>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</si>
  <si>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</si>
  <si>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</si>
  <si>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</si>
  <si>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</si>
  <si>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</si>
  <si>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</si>
  <si>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</si>
  <si>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</si>
  <si>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</si>
  <si>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</si>
  <si>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</si>
  <si>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</si>
  <si>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</si>
  <si>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</si>
  <si>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</si>
  <si>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</si>
  <si>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</si>
  <si>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</si>
  <si>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</si>
  <si>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</si>
  <si>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</si>
  <si>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</si>
  <si>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</si>
  <si>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</si>
  <si>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</si>
  <si>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</si>
  <si>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</si>
  <si>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</si>
  <si>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</si>
  <si>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</si>
  <si>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</si>
  <si>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</si>
  <si>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</si>
  <si>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</si>
  <si>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</si>
  <si>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</si>
  <si>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</si>
  <si>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</si>
  <si>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</si>
  <si>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</si>
  <si>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</si>
  <si>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</si>
  <si>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</si>
  <si>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</si>
  <si>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</si>
  <si>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</si>
  <si>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</si>
  <si>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</si>
  <si>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</si>
  <si>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</si>
  <si>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</si>
  <si>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</si>
  <si>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</si>
  <si>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</si>
  <si>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</si>
  <si>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</si>
  <si>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2"/>
  </si>
  <si>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</si>
  <si>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</si>
  <si>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</si>
  <si>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</si>
  <si>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</si>
  <si>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</si>
  <si>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</si>
  <si>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</si>
  <si>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</si>
  <si>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</si>
  <si>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</si>
  <si>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</si>
  <si>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</si>
  <si>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</si>
  <si>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</si>
  <si>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</si>
  <si>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</si>
  <si>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</si>
  <si>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</si>
  <si>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</si>
  <si>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</si>
  <si>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</si>
  <si>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</si>
  <si>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</si>
  <si>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</si>
  <si>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</si>
  <si>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</si>
  <si>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</si>
  <si>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</si>
  <si>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</si>
  <si>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</si>
  <si>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</si>
  <si>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</si>
  <si>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</si>
  <si>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</si>
  <si>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</si>
  <si>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</si>
  <si>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</si>
  <si>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</si>
  <si>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</si>
  <si>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</si>
  <si>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</si>
  <si>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</si>
  <si>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</si>
  <si>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</si>
  <si>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</si>
  <si>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</si>
  <si>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</si>
  <si>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</si>
  <si>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</si>
  <si>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</si>
  <si>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</si>
  <si>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</si>
  <si>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</si>
  <si>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</si>
  <si>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</si>
  <si>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</si>
  <si>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</si>
  <si>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</si>
  <si>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</si>
  <si>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</si>
  <si>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</si>
  <si>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</si>
  <si>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</si>
  <si>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</si>
  <si>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</si>
  <si>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</si>
  <si>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</si>
  <si>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</si>
  <si>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</si>
  <si>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</si>
  <si>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</si>
  <si>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</si>
  <si>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</si>
  <si>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</si>
  <si>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</si>
  <si>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</si>
  <si>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</si>
  <si>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</si>
  <si>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</si>
  <si>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</si>
  <si>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</si>
  <si>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</si>
  <si>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</si>
  <si>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</si>
  <si>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</si>
  <si>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</si>
  <si>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</si>
  <si>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</si>
  <si>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</si>
  <si>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</si>
  <si>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</si>
  <si>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</si>
  <si>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</si>
  <si>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</si>
  <si>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</si>
  <si>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</si>
  <si>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</si>
  <si>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</si>
  <si>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</si>
  <si>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</si>
  <si>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</si>
  <si>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</si>
  <si>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</si>
  <si>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</si>
  <si>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</si>
  <si>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</si>
  <si>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</si>
  <si>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</si>
  <si>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</si>
  <si>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</si>
  <si>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</si>
  <si>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</si>
  <si>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</si>
  <si>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</si>
  <si>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</si>
  <si>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</si>
  <si>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</si>
  <si>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</si>
  <si>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</si>
  <si>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</si>
  <si>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</si>
  <si>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</si>
  <si>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</si>
  <si>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</si>
  <si>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</si>
  <si>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</si>
  <si>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</si>
  <si>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</si>
  <si>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</si>
  <si>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</si>
  <si>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</si>
  <si>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</si>
  <si>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</si>
  <si>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</si>
  <si>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</si>
  <si>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</si>
  <si>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</si>
  <si>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</si>
  <si>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</si>
  <si>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</si>
  <si>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</si>
  <si>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</si>
  <si>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</si>
  <si>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</si>
  <si>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</si>
  <si>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</si>
  <si>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</si>
  <si>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</si>
  <si>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</si>
  <si>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</si>
  <si>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</si>
  <si>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</si>
  <si>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</si>
  <si>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</si>
  <si>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</si>
  <si>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</si>
  <si>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</si>
  <si>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</si>
  <si>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</si>
  <si>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</si>
  <si>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</si>
  <si>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</si>
  <si>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</si>
  <si>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</si>
  <si>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</si>
  <si>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</si>
  <si>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</si>
  <si>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</si>
  <si>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</si>
  <si>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</si>
  <si>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</si>
  <si>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</si>
  <si>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</si>
  <si>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</si>
  <si>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</si>
  <si>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</si>
  <si>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</si>
  <si>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</si>
  <si>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</si>
  <si>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1"/>
  </si>
  <si>
    <t>ファイル名の「施設コード」から施設マスタの施設IDを設定</t>
    <rPh sb="4" eb="5">
      <t>メイ</t>
    </rPh>
    <rPh sb="7" eb="9">
      <t>シセツ</t>
    </rPh>
    <phoneticPr fontId="1"/>
  </si>
  <si>
    <t>”DPC”固定</t>
    <rPh sb="5" eb="7">
      <t>コテイ</t>
    </rPh>
    <phoneticPr fontId="1"/>
  </si>
  <si>
    <t>A000010</t>
  </si>
  <si>
    <t>”A000010”固定</t>
    <rPh sb="9" eb="11">
      <t>コテイ</t>
    </rPh>
    <phoneticPr fontId="1"/>
  </si>
  <si>
    <t>”20140401”固定</t>
    <rPh sb="10" eb="12">
      <t>コテイ</t>
    </rPh>
    <phoneticPr fontId="1"/>
  </si>
  <si>
    <t>1.男 2.女</t>
    <phoneticPr fontId="1"/>
  </si>
  <si>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</si>
  <si>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</si>
  <si>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</si>
  <si>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</si>
  <si>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</si>
  <si>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</si>
  <si>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</si>
  <si>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</si>
  <si>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</si>
  <si>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</si>
  <si>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</si>
  <si>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</si>
  <si>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</si>
  <si>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1"/>
  </si>
  <si>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</si>
  <si>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</si>
  <si>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</si>
  <si>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</si>
  <si>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1"/>
  </si>
  <si>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</si>
  <si>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</si>
  <si>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</si>
  <si>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</si>
  <si>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</si>
  <si>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</si>
  <si>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</si>
  <si>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</si>
  <si>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1"/>
  </si>
  <si>
    <t>0.初発  1.再発</t>
    <rPh sb="2" eb="4">
      <t>ショハツ</t>
    </rPh>
    <rPh sb="8" eb="10">
      <t>サイハツ</t>
    </rPh>
    <phoneticPr fontId="1"/>
  </si>
  <si>
    <t>6.第 6 版  7.第 7 版  8.第 8 版</t>
    <rPh sb="2" eb="3">
      <t>ダイ</t>
    </rPh>
    <rPh sb="6" eb="7">
      <t>ハン</t>
    </rPh>
    <rPh sb="11" eb="12">
      <t>ダイ</t>
    </rPh>
    <rPh sb="15" eb="16">
      <t>ハン</t>
    </rPh>
    <rPh sb="20" eb="21">
      <t>ダイ</t>
    </rPh>
    <rPh sb="24" eb="25">
      <t>ハン</t>
    </rPh>
    <phoneticPr fontId="1"/>
  </si>
  <si>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1"/>
  </si>
  <si>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</si>
  <si>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1"/>
  </si>
  <si>
    <t>0.無  1～300.意識レベル記入
999.治療室又は病棟に入室していない</t>
    <rPh sb="23" eb="26">
      <t>チリョウシツ</t>
    </rPh>
    <rPh sb="26" eb="27">
      <t>マタ</t>
    </rPh>
    <phoneticPr fontId="1"/>
  </si>
  <si>
    <t>0.無 1.有</t>
    <rPh sb="2" eb="3">
      <t>ム</t>
    </rPh>
    <rPh sb="6" eb="7">
      <t>ユウ</t>
    </rPh>
    <phoneticPr fontId="1"/>
  </si>
  <si>
    <t>100～700:mmHg 999:不明</t>
  </si>
  <si>
    <t>0:無 1:有 9:不明</t>
  </si>
  <si>
    <t>0.分類不能
1.レベルⅠ
2.レベルⅡ
3.レベルⅢ
4.レベルⅣ</t>
    <rPh sb="2" eb="6">
      <t>ブンルイフノウ</t>
    </rPh>
    <phoneticPr fontId="1"/>
  </si>
  <si>
    <t>0.分類不能＆不明
1.レベルⅠ
2.レベルⅡ
3.レベルⅢ
4.レベルⅣ</t>
    <rPh sb="2" eb="6">
      <t>ブンルイフノウ</t>
    </rPh>
    <rPh sb="7" eb="9">
      <t>フメイ</t>
    </rPh>
    <phoneticPr fontId="1"/>
  </si>
  <si>
    <t>0.分類不能＆対象外
1.レベルⅠ
2.レベルⅡ
3.レベルⅢ
4.レベルⅣ</t>
    <rPh sb="7" eb="10">
      <t>タイショウガイ</t>
    </rPh>
    <phoneticPr fontId="1"/>
  </si>
  <si>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</si>
  <si>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</si>
  <si>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1"/>
  </si>
  <si>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</si>
  <si>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</si>
  <si>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</si>
  <si>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</si>
  <si>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</si>
  <si>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</si>
  <si>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</si>
  <si>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1"/>
  </si>
  <si>
    <t>取込年月</t>
    <rPh sb="0" eb="2">
      <t>トリコミ</t>
    </rPh>
    <rPh sb="2" eb="4">
      <t>ネンゲツ</t>
    </rPh>
    <phoneticPr fontId="1"/>
  </si>
  <si>
    <t>文字列</t>
    <rPh sb="0" eb="3">
      <t>モジレツ</t>
    </rPh>
    <phoneticPr fontId="1"/>
  </si>
  <si>
    <t>診療年月</t>
    <rPh sb="0" eb="2">
      <t>シンリョウ</t>
    </rPh>
    <rPh sb="2" eb="4">
      <t>ネンゲツ</t>
    </rPh>
    <phoneticPr fontId="1"/>
  </si>
  <si>
    <t>データ識別番号</t>
    <rPh sb="3" eb="5">
      <t>シキベツ</t>
    </rPh>
    <rPh sb="5" eb="7">
      <t>バンゴウ</t>
    </rPh>
    <phoneticPr fontId="1"/>
  </si>
  <si>
    <t>入院年月日</t>
    <rPh sb="0" eb="2">
      <t>ニュウイン</t>
    </rPh>
    <rPh sb="2" eb="5">
      <t>ネンガッピ</t>
    </rPh>
    <phoneticPr fontId="1"/>
  </si>
  <si>
    <t>回数管理番号</t>
    <rPh sb="0" eb="2">
      <t>カイスウ</t>
    </rPh>
    <rPh sb="2" eb="4">
      <t>カンリ</t>
    </rPh>
    <rPh sb="4" eb="6">
      <t>バンゴウ</t>
    </rPh>
    <phoneticPr fontId="1"/>
  </si>
  <si>
    <t>連番</t>
    <rPh sb="0" eb="2">
      <t>レンバン</t>
    </rPh>
    <phoneticPr fontId="1"/>
  </si>
  <si>
    <t>icd10_code</t>
  </si>
  <si>
    <t>shobyo_code</t>
  </si>
  <si>
    <t>shushoku_code1</t>
  </si>
  <si>
    <t>shushoku_code2</t>
  </si>
  <si>
    <t>shushoku_code3</t>
  </si>
  <si>
    <t>shushoku_code4</t>
  </si>
  <si>
    <t>入院時併存症名</t>
  </si>
  <si>
    <t>nyuin_heizonsho_name</t>
  </si>
  <si>
    <t>A006040</t>
  </si>
  <si>
    <t>”A006040”固定</t>
    <rPh sb="9" eb="11">
      <t>コテイ</t>
    </rPh>
    <phoneticPr fontId="1"/>
  </si>
  <si>
    <t>入院時併存症名に対する ICD10</t>
  </si>
  <si>
    <t>入院時点で既に存在していた傷病名</t>
  </si>
  <si>
    <t>facility_id</t>
    <phoneticPr fontId="8"/>
  </si>
  <si>
    <t>shinryo_ym</t>
    <phoneticPr fontId="8"/>
  </si>
  <si>
    <t>shikibetsu_no</t>
    <phoneticPr fontId="8"/>
  </si>
  <si>
    <t>nyuin_ymd</t>
    <phoneticPr fontId="8"/>
  </si>
  <si>
    <t>sokatsu_shinryo_no</t>
    <phoneticPr fontId="8"/>
  </si>
  <si>
    <t>入院後発症疾患名</t>
  </si>
  <si>
    <t>nyuin_shikkan_name</t>
  </si>
  <si>
    <t>A006050</t>
  </si>
  <si>
    <t>”A006050”固定</t>
    <rPh sb="9" eb="11">
      <t>コテイ</t>
    </rPh>
    <phoneticPr fontId="1"/>
  </si>
  <si>
    <t>入院後発症疾患名に対する ICD10</t>
  </si>
  <si>
    <t>入院中に発生した傷病名</t>
  </si>
  <si>
    <t>※ICD10なしの集計のために以下の補正を行う</t>
    <phoneticPr fontId="8"/>
  </si>
  <si>
    <t>外来EF統合ファイルと様式1から組入れ条件の患者一覧を登録するテーブル</t>
    <rPh sb="27" eb="29">
      <t>トウロク</t>
    </rPh>
    <phoneticPr fontId="8"/>
  </si>
  <si>
    <t>組入れ_対象患者から組入れ_対象患者_複数性別除外対象に存在する患者を除外した患者を登録するテーブル</t>
    <rPh sb="0" eb="2">
      <t>クミイ</t>
    </rPh>
    <rPh sb="4" eb="6">
      <t>タイショウ</t>
    </rPh>
    <rPh sb="6" eb="8">
      <t>カンジャ</t>
    </rPh>
    <rPh sb="10" eb="12">
      <t>クミイ</t>
    </rPh>
    <rPh sb="14" eb="16">
      <t>タイショウ</t>
    </rPh>
    <rPh sb="16" eb="18">
      <t>カンジャ</t>
    </rPh>
    <rPh sb="19" eb="21">
      <t>フクスウ</t>
    </rPh>
    <rPh sb="21" eb="23">
      <t>セイベツ</t>
    </rPh>
    <rPh sb="23" eb="25">
      <t>ジョガイ</t>
    </rPh>
    <rPh sb="25" eb="27">
      <t>タイショウ</t>
    </rPh>
    <rPh sb="28" eb="30">
      <t>ソンザイ</t>
    </rPh>
    <rPh sb="32" eb="34">
      <t>カンジャ</t>
    </rPh>
    <rPh sb="35" eb="37">
      <t>ジョガイ</t>
    </rPh>
    <rPh sb="39" eb="41">
      <t>カンジャ</t>
    </rPh>
    <rPh sb="42" eb="44">
      <t>トウロク</t>
    </rPh>
    <phoneticPr fontId="8"/>
  </si>
  <si>
    <t>icd10_s_cd</t>
  </si>
  <si>
    <t>icd10_s_name</t>
  </si>
  <si>
    <t>icd10_code</t>
    <phoneticPr fontId="8"/>
  </si>
  <si>
    <t>icd10_name</t>
    <phoneticPr fontId="8"/>
  </si>
  <si>
    <t>ICD10名称</t>
    <rPh sb="5" eb="7">
      <t>メイショウ</t>
    </rPh>
    <phoneticPr fontId="8"/>
  </si>
  <si>
    <t>ICD10_2</t>
    <phoneticPr fontId="8"/>
  </si>
  <si>
    <t>icd10_2</t>
    <phoneticPr fontId="8"/>
  </si>
  <si>
    <t>ICD10_2003</t>
    <phoneticPr fontId="8"/>
  </si>
  <si>
    <t>icd10_2003</t>
    <phoneticPr fontId="8"/>
  </si>
  <si>
    <t>ICD10_2003_2</t>
    <phoneticPr fontId="8"/>
  </si>
  <si>
    <t>icd10_2003_2</t>
    <phoneticPr fontId="8"/>
  </si>
  <si>
    <t>ICD10</t>
    <phoneticPr fontId="8"/>
  </si>
  <si>
    <t>傷病名コード</t>
    <rPh sb="0" eb="3">
      <t>ショウビョウメイ</t>
    </rPh>
    <phoneticPr fontId="0"/>
  </si>
  <si>
    <t>傷病名</t>
    <rPh sb="0" eb="2">
      <t>ショウビョウ</t>
    </rPh>
    <phoneticPr fontId="0"/>
  </si>
  <si>
    <t>shobyo_name_cd</t>
    <phoneticPr fontId="8"/>
  </si>
  <si>
    <t>shobyo_name</t>
    <phoneticPr fontId="8"/>
  </si>
  <si>
    <t>対象外フラグ</t>
    <rPh sb="0" eb="3">
      <t>タイショウガイ</t>
    </rPh>
    <phoneticPr fontId="11"/>
  </si>
  <si>
    <t>追加フラグ</t>
    <rPh sb="0" eb="2">
      <t>ツイカ</t>
    </rPh>
    <phoneticPr fontId="8"/>
  </si>
  <si>
    <t>add_f</t>
    <phoneticPr fontId="8"/>
  </si>
  <si>
    <t>non_ap_f</t>
    <phoneticPr fontId="8"/>
  </si>
  <si>
    <t>MDV案件_疾患マスタ（補正後）を登録するテーブル</t>
    <rPh sb="6" eb="8">
      <t>シッカン</t>
    </rPh>
    <rPh sb="12" eb="14">
      <t>ホセイ</t>
    </rPh>
    <rPh sb="14" eb="15">
      <t>ゴ</t>
    </rPh>
    <rPh sb="17" eb="19">
      <t>トウロク</t>
    </rPh>
    <phoneticPr fontId="8"/>
  </si>
  <si>
    <t>　・ICD10小区分が空欄のものは傷病名コードの値とする</t>
    <phoneticPr fontId="8"/>
  </si>
  <si>
    <t>　・ICD10小区分名称が空欄のものは傷病名の値とする</t>
    <rPh sb="10" eb="12">
      <t>メイショウ</t>
    </rPh>
    <phoneticPr fontId="8"/>
  </si>
  <si>
    <t>お客様から提供された時点でICD10小区分名称が空欄だったものについては傷病名を入力</t>
    <rPh sb="1" eb="3">
      <t>キャクサマ</t>
    </rPh>
    <rPh sb="5" eb="7">
      <t>テイキョウ</t>
    </rPh>
    <rPh sb="10" eb="12">
      <t>ジテン</t>
    </rPh>
    <rPh sb="18" eb="21">
      <t>ショウクブン</t>
    </rPh>
    <rPh sb="21" eb="23">
      <t>メイショウ</t>
    </rPh>
    <rPh sb="24" eb="26">
      <t>クウラン</t>
    </rPh>
    <rPh sb="36" eb="39">
      <t>ショウビョウメイ</t>
    </rPh>
    <rPh sb="40" eb="42">
      <t>ニュウリョク</t>
    </rPh>
    <phoneticPr fontId="8"/>
  </si>
  <si>
    <t>ICD10小区分名称</t>
    <rPh sb="6" eb="8">
      <t>クブン</t>
    </rPh>
    <rPh sb="8" eb="10">
      <t>メイショウ</t>
    </rPh>
    <phoneticPr fontId="8"/>
  </si>
  <si>
    <t>ICD10小区分</t>
    <rPh sb="6" eb="8">
      <t>クブン</t>
    </rPh>
    <phoneticPr fontId="8"/>
  </si>
  <si>
    <t>お客様から提供された時点でICD10小区分が空欄だったものについては傷病名コードを入力</t>
    <rPh sb="1" eb="3">
      <t>キャクサマ</t>
    </rPh>
    <rPh sb="5" eb="7">
      <t>テイキョウ</t>
    </rPh>
    <rPh sb="10" eb="12">
      <t>ジテン</t>
    </rPh>
    <rPh sb="18" eb="21">
      <t>ショウクブン</t>
    </rPh>
    <rPh sb="22" eb="24">
      <t>クウラン</t>
    </rPh>
    <rPh sb="34" eb="37">
      <t>ショウビョウメイ</t>
    </rPh>
    <rPh sb="41" eb="43">
      <t>ニュウリョク</t>
    </rPh>
    <phoneticPr fontId="8"/>
  </si>
  <si>
    <t>性別</t>
    <rPh sb="0" eb="2">
      <t>セイベツ</t>
    </rPh>
    <phoneticPr fontId="2"/>
  </si>
  <si>
    <t>sex</t>
    <phoneticPr fontId="8"/>
  </si>
  <si>
    <t>セレクト_疾患データ_大区分</t>
    <rPh sb="12" eb="14">
      <t>クブン</t>
    </rPh>
    <phoneticPr fontId="8"/>
  </si>
  <si>
    <t>セレクト_疾患データ_小区分</t>
    <rPh sb="11" eb="14">
      <t>ショウクブン</t>
    </rPh>
    <phoneticPr fontId="8"/>
  </si>
  <si>
    <t>※大区分の紐づけ方法はMDV様作成資料と同一にする</t>
    <rPh sb="1" eb="2">
      <t>ダイ</t>
    </rPh>
    <rPh sb="2" eb="4">
      <t>クブン</t>
    </rPh>
    <rPh sb="5" eb="6">
      <t>ヒモ</t>
    </rPh>
    <rPh sb="8" eb="10">
      <t>ホウホウ</t>
    </rPh>
    <rPh sb="14" eb="15">
      <t>サマ</t>
    </rPh>
    <rPh sb="15" eb="17">
      <t>サクセイ</t>
    </rPh>
    <rPh sb="17" eb="19">
      <t>シリョウ</t>
    </rPh>
    <rPh sb="20" eb="22">
      <t>ドウイツ</t>
    </rPh>
    <phoneticPr fontId="8"/>
  </si>
  <si>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3"/>
  </si>
  <si>
    <t>ICD10大区分名称</t>
    <rPh sb="6" eb="8">
      <t>クブン</t>
    </rPh>
    <rPh sb="8" eb="10">
      <t>メイショウ</t>
    </rPh>
    <phoneticPr fontId="8"/>
  </si>
  <si>
    <t>icd10_l_name</t>
    <phoneticPr fontId="8"/>
  </si>
  <si>
    <t>お客様から提供された時点でICD10大区分名称が空欄だったものについてはICD10なしと入力
形式は「ICD10大区分コード＋(名称)」
例)A00-B99（感染症及び寄生虫症）</t>
    <rPh sb="18" eb="19">
      <t>ダイ</t>
    </rPh>
    <rPh sb="21" eb="23">
      <t>メイショウ</t>
    </rPh>
    <rPh sb="48" eb="50">
      <t>ケイシキ</t>
    </rPh>
    <rPh sb="57" eb="60">
      <t>ダイクブン</t>
    </rPh>
    <rPh sb="65" eb="67">
      <t>メイショウ</t>
    </rPh>
    <rPh sb="70" eb="71">
      <t>レイ</t>
    </rPh>
    <phoneticPr fontId="8"/>
  </si>
  <si>
    <t>院外処方区分、一般名処方区分、性別、転帰区分及び主傷病を上5桁に設定し、残りの7桁に0を設定する</t>
    <phoneticPr fontId="8"/>
  </si>
  <si>
    <t>1：男性　2：女性</t>
    <rPh sb="2" eb="4">
      <t>ダンセイ</t>
    </rPh>
    <rPh sb="7" eb="9">
      <t>ジョセイ</t>
    </rPh>
    <phoneticPr fontId="8"/>
  </si>
  <si>
    <t>　・ICD10大区分名称が空欄のものはICD10なしとする</t>
    <rPh sb="7" eb="10">
      <t>ダイクブン</t>
    </rPh>
    <rPh sb="10" eb="12">
      <t>メイショウ</t>
    </rPh>
    <rPh sb="13" eb="15">
      <t>クウラン</t>
    </rPh>
    <phoneticPr fontId="8"/>
  </si>
  <si>
    <t>受領した疾患マスタにICD10大区分名称を付与する。</t>
    <rPh sb="0" eb="2">
      <t>ジュリョウ</t>
    </rPh>
    <rPh sb="4" eb="6">
      <t>シッカン</t>
    </rPh>
    <rPh sb="15" eb="16">
      <t>ダイ</t>
    </rPh>
    <rPh sb="16" eb="18">
      <t>クブン</t>
    </rPh>
    <rPh sb="18" eb="20">
      <t>メイショウ</t>
    </rPh>
    <rPh sb="21" eb="23">
      <t>フヨ</t>
    </rPh>
    <phoneticPr fontId="8"/>
  </si>
  <si>
    <t>ICD10大区分名称の付与</t>
    <rPh sb="5" eb="6">
      <t>ダイ</t>
    </rPh>
    <rPh sb="6" eb="8">
      <t>クブン</t>
    </rPh>
    <rPh sb="8" eb="10">
      <t>メイショウ</t>
    </rPh>
    <rPh sb="11" eb="13">
      <t>フヨ</t>
    </rPh>
    <phoneticPr fontId="8"/>
  </si>
  <si>
    <t>手運用（ICD10大区分名称の付与）</t>
    <rPh sb="0" eb="3">
      <t>テウンヨウ</t>
    </rPh>
    <rPh sb="10" eb="12">
      <t>クブン</t>
    </rPh>
    <rPh sb="12" eb="14">
      <t>メイショウ</t>
    </rPh>
    <phoneticPr fontId="8"/>
  </si>
  <si>
    <t>MDV案件_疾患マスタ(補正後).xlsx</t>
    <phoneticPr fontId="8"/>
  </si>
  <si>
    <t>NTTデータ様_疾患別対象患者数調査_20230330.xlsx</t>
  </si>
  <si>
    <t>「疾患マスタ」シート</t>
    <phoneticPr fontId="8"/>
  </si>
  <si>
    <t>処理ID</t>
    <rPh sb="0" eb="2">
      <t>ショリ</t>
    </rPh>
    <phoneticPr fontId="8"/>
  </si>
  <si>
    <t>21_03</t>
    <phoneticPr fontId="8"/>
  </si>
  <si>
    <t>組入れ_施設別患者数_取得</t>
    <rPh sb="4" eb="10">
      <t>シセツベツカンジャスウ</t>
    </rPh>
    <phoneticPr fontId="8"/>
  </si>
  <si>
    <t>バックアップ_医科レセプト_医療機関情報レコード</t>
    <phoneticPr fontId="8"/>
  </si>
  <si>
    <t>請求年月</t>
    <rPh sb="0" eb="2">
      <t>セイキュウ</t>
    </rPh>
    <rPh sb="2" eb="4">
      <t>ネンゲツ</t>
    </rPh>
    <phoneticPr fontId="6"/>
  </si>
  <si>
    <t>seikyu_ym</t>
  </si>
  <si>
    <t>審査支払機関</t>
  </si>
  <si>
    <t>shinsa_kikan</t>
  </si>
  <si>
    <t>レコード識別情報</t>
  </si>
  <si>
    <t>record_shikibetsu</t>
  </si>
  <si>
    <t>レセプト番号</t>
    <rPh sb="4" eb="6">
      <t>バンゴウ</t>
    </rPh>
    <phoneticPr fontId="1"/>
  </si>
  <si>
    <t>receipt_no</t>
  </si>
  <si>
    <t>行番号</t>
    <rPh sb="0" eb="3">
      <t>ギョウバンゴウ</t>
    </rPh>
    <phoneticPr fontId="1"/>
  </si>
  <si>
    <t>gyo_no</t>
  </si>
  <si>
    <t>カルテ番号等</t>
    <rPh sb="3" eb="5">
      <t>バンゴウ</t>
    </rPh>
    <rPh sb="5" eb="6">
      <t>トウ</t>
    </rPh>
    <phoneticPr fontId="1"/>
  </si>
  <si>
    <t>karute_no</t>
  </si>
  <si>
    <t>都道府県</t>
  </si>
  <si>
    <t>prefecture</t>
  </si>
  <si>
    <t>点数表</t>
  </si>
  <si>
    <t>tensuhyo</t>
  </si>
  <si>
    <t>医療機関コード</t>
  </si>
  <si>
    <t>hospital_code</t>
  </si>
  <si>
    <t>予備1</t>
    <rPh sb="0" eb="2">
      <t>ヨビ</t>
    </rPh>
    <phoneticPr fontId="1"/>
  </si>
  <si>
    <t>reserve1</t>
  </si>
  <si>
    <t>医療機関名称</t>
  </si>
  <si>
    <t>hospital_name</t>
  </si>
  <si>
    <t>マルチボリューム識別情報</t>
  </si>
  <si>
    <t>multi_volume_shikibetsu</t>
  </si>
  <si>
    <t>電話番号</t>
    <rPh sb="0" eb="2">
      <t>デンワ</t>
    </rPh>
    <rPh sb="2" eb="4">
      <t>バンゴウ</t>
    </rPh>
    <phoneticPr fontId="6"/>
  </si>
  <si>
    <t>phone_no</t>
  </si>
  <si>
    <t>IRレコードの「都道府県、医療機関コード」から施設マスタの施設IDを設定</t>
  </si>
  <si>
    <t>GYYMM形式を、YYYYMM形式に変換する
※G:1（明治）,2（大正）,3（昭和）,4（平成）</t>
  </si>
  <si>
    <t>RCP</t>
  </si>
  <si>
    <t>”RCP”固定</t>
    <rPh sb="5" eb="7">
      <t>コテイ</t>
    </rPh>
    <phoneticPr fontId="1"/>
  </si>
  <si>
    <t>IR</t>
  </si>
  <si>
    <t>”IR”固定</t>
    <rPh sb="4" eb="6">
      <t>コテイ</t>
    </rPh>
    <phoneticPr fontId="1"/>
  </si>
  <si>
    <t>0固定</t>
    <rPh sb="1" eb="3">
      <t>コテイ</t>
    </rPh>
    <phoneticPr fontId="1"/>
  </si>
  <si>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1"/>
  </si>
  <si>
    <t>バックアップ_医科レセプト_レセプト共通レコード</t>
    <phoneticPr fontId="8"/>
  </si>
  <si>
    <t>バックアップ_医科レセプト_レセプト共通レコード</t>
    <phoneticPr fontId="8"/>
  </si>
  <si>
    <t>レセプト種別</t>
    <rPh sb="4" eb="6">
      <t>シュベツ</t>
    </rPh>
    <phoneticPr fontId="1"/>
  </si>
  <si>
    <t>receipt_type</t>
  </si>
  <si>
    <t>氏名</t>
    <rPh sb="0" eb="2">
      <t>シメイ</t>
    </rPh>
    <phoneticPr fontId="1"/>
  </si>
  <si>
    <t>name</t>
  </si>
  <si>
    <t>男女区分</t>
    <rPh sb="0" eb="2">
      <t>ダンジョ</t>
    </rPh>
    <rPh sb="2" eb="4">
      <t>クブン</t>
    </rPh>
    <phoneticPr fontId="1"/>
  </si>
  <si>
    <t>sex_kubun</t>
  </si>
  <si>
    <t>生年月日</t>
    <rPh sb="0" eb="2">
      <t>セイネン</t>
    </rPh>
    <rPh sb="2" eb="4">
      <t>ガッピ</t>
    </rPh>
    <phoneticPr fontId="1"/>
  </si>
  <si>
    <t>給付割合</t>
    <rPh sb="0" eb="2">
      <t>キュウフ</t>
    </rPh>
    <rPh sb="2" eb="4">
      <t>ワリアイ</t>
    </rPh>
    <phoneticPr fontId="1"/>
  </si>
  <si>
    <t>kyufu_wariai</t>
  </si>
  <si>
    <t>病棟区分1</t>
    <rPh sb="0" eb="2">
      <t>ビョウトウ</t>
    </rPh>
    <rPh sb="2" eb="4">
      <t>クブン</t>
    </rPh>
    <phoneticPr fontId="1"/>
  </si>
  <si>
    <t>ward_kubun1</t>
  </si>
  <si>
    <t>病棟区分2</t>
    <rPh sb="0" eb="2">
      <t>ビョウトウ</t>
    </rPh>
    <rPh sb="2" eb="4">
      <t>クブン</t>
    </rPh>
    <phoneticPr fontId="1"/>
  </si>
  <si>
    <t>ward_kubun2</t>
  </si>
  <si>
    <t>病棟区分3</t>
    <rPh sb="0" eb="2">
      <t>ビョウトウ</t>
    </rPh>
    <rPh sb="2" eb="4">
      <t>クブン</t>
    </rPh>
    <phoneticPr fontId="1"/>
  </si>
  <si>
    <t>ward_kubun3</t>
  </si>
  <si>
    <t>病棟区分4</t>
    <rPh sb="0" eb="2">
      <t>ビョウトウ</t>
    </rPh>
    <rPh sb="2" eb="4">
      <t>クブン</t>
    </rPh>
    <phoneticPr fontId="1"/>
  </si>
  <si>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</si>
  <si>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1"/>
  </si>
  <si>
    <t>ichibu_futankin_kubun</t>
  </si>
  <si>
    <t>レセプト特記事項1</t>
    <rPh sb="4" eb="6">
      <t>トッキ</t>
    </rPh>
    <rPh sb="6" eb="8">
      <t>ジコウ</t>
    </rPh>
    <phoneticPr fontId="1"/>
  </si>
  <si>
    <t>receipt_tokki_code1</t>
  </si>
  <si>
    <t>レセプト特記事項2</t>
    <rPh sb="4" eb="6">
      <t>トッキ</t>
    </rPh>
    <rPh sb="6" eb="8">
      <t>ジコウ</t>
    </rPh>
    <phoneticPr fontId="1"/>
  </si>
  <si>
    <t>receipt_tokki_code2</t>
  </si>
  <si>
    <t>レセプト特記事項3</t>
    <rPh sb="4" eb="6">
      <t>トッキ</t>
    </rPh>
    <rPh sb="6" eb="8">
      <t>ジコウ</t>
    </rPh>
    <phoneticPr fontId="1"/>
  </si>
  <si>
    <t>receipt_tokki_code3</t>
  </si>
  <si>
    <t>レセプト特記事項4</t>
    <rPh sb="4" eb="6">
      <t>トッキ</t>
    </rPh>
    <rPh sb="6" eb="8">
      <t>ジコウ</t>
    </rPh>
    <phoneticPr fontId="1"/>
  </si>
  <si>
    <t>receipt_tokki_code4</t>
  </si>
  <si>
    <t>レセプト特記事項5</t>
    <rPh sb="4" eb="6">
      <t>トッキ</t>
    </rPh>
    <rPh sb="6" eb="8">
      <t>ジコウ</t>
    </rPh>
    <phoneticPr fontId="1"/>
  </si>
  <si>
    <t>receipt_tokki_code5</t>
  </si>
  <si>
    <t>病床数</t>
    <rPh sb="0" eb="3">
      <t>ビョウショウスウ</t>
    </rPh>
    <phoneticPr fontId="1"/>
  </si>
  <si>
    <t>bed_su</t>
  </si>
  <si>
    <t>割引点数単価</t>
    <rPh sb="0" eb="2">
      <t>ワリビキ</t>
    </rPh>
    <rPh sb="2" eb="4">
      <t>テンスウ</t>
    </rPh>
    <rPh sb="4" eb="6">
      <t>タンカ</t>
    </rPh>
    <phoneticPr fontId="1"/>
  </si>
  <si>
    <t>waribiki_tensu</t>
  </si>
  <si>
    <t>予備2</t>
    <rPh sb="0" eb="2">
      <t>ヨビ</t>
    </rPh>
    <phoneticPr fontId="1"/>
  </si>
  <si>
    <t>reserve2</t>
  </si>
  <si>
    <t>予備3</t>
    <rPh sb="0" eb="2">
      <t>ヨビ</t>
    </rPh>
    <phoneticPr fontId="1"/>
  </si>
  <si>
    <t>reserve3</t>
  </si>
  <si>
    <t>検索番号</t>
    <rPh sb="0" eb="2">
      <t>ケンサク</t>
    </rPh>
    <rPh sb="2" eb="4">
      <t>バンゴウ</t>
    </rPh>
    <phoneticPr fontId="1"/>
  </si>
  <si>
    <t>kensaku_no</t>
  </si>
  <si>
    <t>記録条件仕様年月情報</t>
    <rPh sb="0" eb="2">
      <t>キロク</t>
    </rPh>
    <rPh sb="2" eb="4">
      <t>ジョウケン</t>
    </rPh>
    <rPh sb="4" eb="6">
      <t>シヨウ</t>
    </rPh>
    <rPh sb="6" eb="8">
      <t>ネンゲツ</t>
    </rPh>
    <rPh sb="8" eb="10">
      <t>ジョウホウ</t>
    </rPh>
    <phoneticPr fontId="1"/>
  </si>
  <si>
    <t>kiroku_ym</t>
  </si>
  <si>
    <t>請求情報</t>
    <rPh sb="0" eb="2">
      <t>セイキュウ</t>
    </rPh>
    <rPh sb="2" eb="4">
      <t>ジョウホウ</t>
    </rPh>
    <phoneticPr fontId="1"/>
  </si>
  <si>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</si>
  <si>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</si>
  <si>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</si>
  <si>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</si>
  <si>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</si>
  <si>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</si>
  <si>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</si>
  <si>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</si>
  <si>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</si>
  <si>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</si>
  <si>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</si>
  <si>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</si>
  <si>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</si>
  <si>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</si>
  <si>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</si>
  <si>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</si>
  <si>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</si>
  <si>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</si>
  <si>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</si>
  <si>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</si>
  <si>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</si>
  <si>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</si>
  <si>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</si>
  <si>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</si>
  <si>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</si>
  <si>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</si>
  <si>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</si>
  <si>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</si>
  <si>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</si>
  <si>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</si>
  <si>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</si>
  <si>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</si>
  <si>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</si>
  <si>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</si>
  <si>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</si>
  <si>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</si>
  <si>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</si>
  <si>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</si>
  <si>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</si>
  <si>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</si>
  <si>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</si>
  <si>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</si>
  <si>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</si>
  <si>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</si>
  <si>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</si>
  <si>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</si>
  <si>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</si>
  <si>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</si>
  <si>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</si>
  <si>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</si>
  <si>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</si>
  <si>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</si>
  <si>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</si>
  <si>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</si>
  <si>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</si>
  <si>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</si>
  <si>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</si>
  <si>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</si>
  <si>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</si>
  <si>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</si>
  <si>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</si>
  <si>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</si>
  <si>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</si>
  <si>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</si>
  <si>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</si>
  <si>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</si>
  <si>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</si>
  <si>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</si>
  <si>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</si>
  <si>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</si>
  <si>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</si>
  <si>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</si>
  <si>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</si>
  <si>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1"/>
  </si>
  <si>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1"/>
  </si>
  <si>
    <t>IRレコードの「審査支払機関」より取得</t>
  </si>
  <si>
    <t>RE</t>
  </si>
  <si>
    <t>”RE”固定</t>
    <rPh sb="4" eb="6">
      <t>コテイ</t>
    </rPh>
    <phoneticPr fontId="1"/>
  </si>
  <si>
    <t>REレコードの「レセプト番号」より取得</t>
    <rPh sb="17" eb="19">
      <t>シュトク</t>
    </rPh>
    <phoneticPr fontId="1"/>
  </si>
  <si>
    <t>”RE”を１行目とした際のレセプト単位の通番</t>
    <rPh sb="6" eb="8">
      <t>ギョウメ</t>
    </rPh>
    <rPh sb="11" eb="12">
      <t>サイ</t>
    </rPh>
    <phoneticPr fontId="1"/>
  </si>
  <si>
    <t>REレコードの「カルテ番号等」より取得</t>
    <rPh sb="11" eb="13">
      <t>バンゴウ</t>
    </rPh>
    <rPh sb="13" eb="14">
      <t>トウ</t>
    </rPh>
    <rPh sb="17" eb="19">
      <t>シュトク</t>
    </rPh>
    <phoneticPr fontId="1"/>
  </si>
  <si>
    <t>≪匿名化対象≫</t>
  </si>
  <si>
    <t>1.男 2.女</t>
  </si>
  <si>
    <t>GYYMMDD形式を、YYYYMMDD形式に変換する
※G:1（明治）,2（大正）,3（昭和）,4（平成）
≪匿名化対象：YYYYMM（日のみ削除）≫</t>
    <rPh sb="68" eb="69">
      <t>ニチ</t>
    </rPh>
    <rPh sb="71" eb="73">
      <t>サクジョ</t>
    </rPh>
    <phoneticPr fontId="1"/>
  </si>
  <si>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</si>
  <si>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1"/>
  </si>
  <si>
    <t>「特記事項」を2桁区切りで分割</t>
    <rPh sb="1" eb="3">
      <t>トッキ</t>
    </rPh>
    <rPh sb="3" eb="5">
      <t>ジコウ</t>
    </rPh>
    <rPh sb="8" eb="9">
      <t>ケタ</t>
    </rPh>
    <rPh sb="9" eb="11">
      <t>クギ</t>
    </rPh>
    <rPh sb="13" eb="15">
      <t>ブンカツ</t>
    </rPh>
    <phoneticPr fontId="1"/>
  </si>
  <si>
    <t>「患者の状態」を3桁区切りで分割</t>
    <rPh sb="9" eb="10">
      <t>ケタ</t>
    </rPh>
    <phoneticPr fontId="1"/>
  </si>
  <si>
    <t>バックアップ_医科レセプト_傷病名レコード</t>
    <phoneticPr fontId="8"/>
  </si>
  <si>
    <t>バックアップ_医科レセプト_傷病名レコード</t>
    <phoneticPr fontId="8"/>
  </si>
  <si>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</si>
  <si>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</si>
  <si>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</si>
  <si>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</si>
  <si>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</si>
  <si>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</si>
  <si>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</si>
  <si>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</si>
  <si>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</si>
  <si>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</si>
  <si>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</si>
  <si>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</si>
  <si>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</si>
  <si>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</si>
  <si>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</si>
  <si>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</si>
  <si>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</si>
  <si>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</si>
  <si>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</si>
  <si>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</si>
  <si>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</si>
  <si>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</si>
  <si>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</si>
  <si>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</si>
  <si>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</si>
  <si>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</si>
  <si>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</si>
  <si>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</si>
  <si>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</si>
  <si>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</si>
  <si>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</si>
  <si>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</si>
  <si>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</si>
  <si>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</si>
  <si>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</si>
  <si>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</si>
  <si>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</si>
  <si>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</si>
  <si>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</si>
  <si>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</si>
  <si>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</si>
  <si>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</si>
  <si>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1"/>
  </si>
  <si>
    <t>SY</t>
  </si>
  <si>
    <t>”SY”固定</t>
    <rPh sb="4" eb="6">
      <t>コテイ</t>
    </rPh>
    <phoneticPr fontId="1"/>
  </si>
  <si>
    <t>”RE”を１行目とした際のレセプト内の行番号</t>
    <rPh sb="6" eb="8">
      <t>ギョウメ</t>
    </rPh>
    <rPh sb="11" eb="12">
      <t>サイ</t>
    </rPh>
    <rPh sb="17" eb="18">
      <t>ナイ</t>
    </rPh>
    <rPh sb="19" eb="22">
      <t>ギョウバンゴウ</t>
    </rPh>
    <phoneticPr fontId="1"/>
  </si>
  <si>
    <t>「修飾語コード」を4桁区切りで分割</t>
    <rPh sb="1" eb="4">
      <t>シュウショクゴ</t>
    </rPh>
    <rPh sb="10" eb="11">
      <t>ケタ</t>
    </rPh>
    <rPh sb="11" eb="13">
      <t>クギ</t>
    </rPh>
    <rPh sb="15" eb="17">
      <t>ブンカツ</t>
    </rPh>
    <phoneticPr fontId="1"/>
  </si>
  <si>
    <t>バックアップ_医科レセプト_診療行為レコード</t>
    <phoneticPr fontId="8"/>
  </si>
  <si>
    <t>バックアップ_医科レセプト_診療行為レコード</t>
    <phoneticPr fontId="8"/>
  </si>
  <si>
    <t>診療識別</t>
    <rPh sb="0" eb="2">
      <t>シンリョウ</t>
    </rPh>
    <rPh sb="2" eb="4">
      <t>シキベツ</t>
    </rPh>
    <phoneticPr fontId="1"/>
  </si>
  <si>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</si>
  <si>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</si>
  <si>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</si>
  <si>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</si>
  <si>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</si>
  <si>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</si>
  <si>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</si>
  <si>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</si>
  <si>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</si>
  <si>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</si>
  <si>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</si>
  <si>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</si>
  <si>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</si>
  <si>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</si>
  <si>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</si>
  <si>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</si>
  <si>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</si>
  <si>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</si>
  <si>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</si>
  <si>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</si>
  <si>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</si>
  <si>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</si>
  <si>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</si>
  <si>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</si>
  <si>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1"/>
  </si>
  <si>
    <t>バックアップ_医科レセプト_診療行為レコード_算定日情報</t>
    <phoneticPr fontId="8"/>
  </si>
  <si>
    <t>バックアップ_医科レセプト_診療行為レコード_算定日情報</t>
    <phoneticPr fontId="8"/>
  </si>
  <si>
    <t>算定日</t>
    <rPh sb="0" eb="2">
      <t>サンテイ</t>
    </rPh>
    <rPh sb="2" eb="3">
      <t>ビ</t>
    </rPh>
    <phoneticPr fontId="1"/>
  </si>
  <si>
    <t>santei_ymd</t>
  </si>
  <si>
    <t>回数</t>
    <rPh sb="0" eb="2">
      <t>カイスウ</t>
    </rPh>
    <phoneticPr fontId="1"/>
  </si>
  <si>
    <t>算定日（YYYYMMDD）</t>
    <rPh sb="0" eb="2">
      <t>サンテイ</t>
    </rPh>
    <rPh sb="2" eb="3">
      <t>ビ</t>
    </rPh>
    <phoneticPr fontId="1"/>
  </si>
  <si>
    <t>バックアップ_医科レセプト_医薬品レコード</t>
    <phoneticPr fontId="8"/>
  </si>
  <si>
    <t>バックアップ_医科レセプト_医薬品レコード_算定日情報</t>
    <phoneticPr fontId="8"/>
  </si>
  <si>
    <t>バックアップ_医科レセプト_臓器提供者レセプト情報レコード</t>
    <phoneticPr fontId="8"/>
  </si>
  <si>
    <t>バックアップ_医科レセプト_医薬品レコード</t>
    <phoneticPr fontId="8"/>
  </si>
  <si>
    <t>医薬品コード</t>
  </si>
  <si>
    <t>iyakuhin_code</t>
  </si>
  <si>
    <t>使用量</t>
  </si>
  <si>
    <t>実数</t>
    <rPh sb="0" eb="2">
      <t>ジッスウ</t>
    </rPh>
    <phoneticPr fontId="1"/>
  </si>
  <si>
    <t>IY</t>
  </si>
  <si>
    <t>”IY”固定</t>
    <rPh sb="4" eb="6">
      <t>コテイ</t>
    </rPh>
    <phoneticPr fontId="1"/>
  </si>
  <si>
    <t>整数部５桁、小数部５桁として、整数部と小数部は小数点で区切り記録する</t>
  </si>
  <si>
    <t>バックアップ_医科レセプト_医薬品レコード_算定日情報</t>
    <phoneticPr fontId="8"/>
  </si>
  <si>
    <t>バックアップ_医科レセプト_臓器提供者レセプト情報レコード</t>
    <phoneticPr fontId="8"/>
  </si>
  <si>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</si>
  <si>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</si>
  <si>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</si>
  <si>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</si>
  <si>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</si>
  <si>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</si>
  <si>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</si>
  <si>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</si>
  <si>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</si>
  <si>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</si>
  <si>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</si>
  <si>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</si>
  <si>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</si>
  <si>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</si>
  <si>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</si>
  <si>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</si>
  <si>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1"/>
  </si>
  <si>
    <t>reserve4</t>
  </si>
  <si>
    <t>カルテ番号等（臓器提供者レセプト情報）</t>
  </si>
  <si>
    <t>karute_no_tr</t>
  </si>
  <si>
    <t>割引点数単価</t>
  </si>
  <si>
    <t>予備5</t>
    <rPh sb="0" eb="2">
      <t>ヨビ</t>
    </rPh>
    <phoneticPr fontId="1"/>
  </si>
  <si>
    <t>reserve5</t>
  </si>
  <si>
    <t>予備6</t>
    <rPh sb="0" eb="2">
      <t>ヨビ</t>
    </rPh>
    <phoneticPr fontId="1"/>
  </si>
  <si>
    <t>reserve6</t>
  </si>
  <si>
    <t>予備7</t>
    <rPh sb="0" eb="2">
      <t>ヨビ</t>
    </rPh>
    <phoneticPr fontId="1"/>
  </si>
  <si>
    <t>reserve7</t>
  </si>
  <si>
    <t>TR</t>
  </si>
  <si>
    <t>”TR”固定</t>
    <rPh sb="4" eb="6">
      <t>コテイ</t>
    </rPh>
    <phoneticPr fontId="1"/>
  </si>
  <si>
    <t>GYYMMDD形式を、YYYYMMDD形式に変換する
※G:1（明治）,2（大正）,3（昭和）,4（平成）
≪匿名化対象：YYYYMM（日のみ削除）≫</t>
  </si>
  <si>
    <t>バックアップ_DPCレセプト_医療機関情報レコード</t>
    <phoneticPr fontId="8"/>
  </si>
  <si>
    <t>バックアップ_DPCレセプト_医療機関情報レコード</t>
    <phoneticPr fontId="8"/>
  </si>
  <si>
    <t>レセプト総括区分</t>
    <rPh sb="4" eb="6">
      <t>ソウカツ</t>
    </rPh>
    <rPh sb="6" eb="8">
      <t>クブン</t>
    </rPh>
    <phoneticPr fontId="1"/>
  </si>
  <si>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</si>
  <si>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1"/>
  </si>
  <si>
    <t>バックアップ_DPCレセプト_レセプト共通レコード</t>
    <phoneticPr fontId="8"/>
  </si>
  <si>
    <t>バックアップ_DPCレセプト_レセプト共通レコード</t>
    <phoneticPr fontId="8"/>
  </si>
  <si>
    <t>明細情報数</t>
    <rPh sb="0" eb="2">
      <t>メイサイ</t>
    </rPh>
    <rPh sb="2" eb="4">
      <t>ジョウホウ</t>
    </rPh>
    <rPh sb="4" eb="5">
      <t>スウ</t>
    </rPh>
    <phoneticPr fontId="1"/>
  </si>
  <si>
    <t>meisai_su</t>
  </si>
  <si>
    <t>レセプト番号ごとに通番を付与</t>
    <rPh sb="4" eb="6">
      <t>バンゴウ</t>
    </rPh>
    <rPh sb="9" eb="10">
      <t>ツウ</t>
    </rPh>
    <rPh sb="10" eb="11">
      <t>バン</t>
    </rPh>
    <rPh sb="12" eb="14">
      <t>フヨ</t>
    </rPh>
    <phoneticPr fontId="1"/>
  </si>
  <si>
    <t>バックアップ_DPCレセプト_診断群分類レコード</t>
    <phoneticPr fontId="8"/>
  </si>
  <si>
    <t>バックアップ_DPCレセプト_診断群分類レコード</t>
    <phoneticPr fontId="8"/>
  </si>
  <si>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</si>
  <si>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</si>
  <si>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</si>
  <si>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</si>
  <si>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</si>
  <si>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</si>
  <si>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</si>
  <si>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</si>
  <si>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</si>
  <si>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</si>
  <si>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</si>
  <si>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1"/>
  </si>
  <si>
    <t>REレコードの「レセプト総括区分」より取得</t>
    <rPh sb="19" eb="21">
      <t>シュトク</t>
    </rPh>
    <phoneticPr fontId="1"/>
  </si>
  <si>
    <t>バックアップ_DPCレセプト_傷病レコード</t>
    <phoneticPr fontId="8"/>
  </si>
  <si>
    <t>バックアップ_DPCレセプト_傷病レコード</t>
    <phoneticPr fontId="8"/>
  </si>
  <si>
    <t>傷病名区分</t>
  </si>
  <si>
    <t>shobyo_kubun</t>
  </si>
  <si>
    <t>SB</t>
  </si>
  <si>
    <t>”SB”固定</t>
    <rPh sb="4" eb="6">
      <t>コテイ</t>
    </rPh>
    <phoneticPr fontId="1"/>
  </si>
  <si>
    <t>バックアップ_DPCレセプト_傷病名レコード</t>
    <phoneticPr fontId="8"/>
  </si>
  <si>
    <t>バックアップ_DPCレセプト_傷病名レコード</t>
    <phoneticPr fontId="8"/>
  </si>
  <si>
    <t>バックアップ_DPCレセプト_診療行為レコード</t>
    <phoneticPr fontId="8"/>
  </si>
  <si>
    <t>バックアップ_DPCレセプト_診療行為レコード</t>
    <phoneticPr fontId="8"/>
  </si>
  <si>
    <t>バックアップ_DPCレセプト_診療行為レコード_算定日情報</t>
    <phoneticPr fontId="8"/>
  </si>
  <si>
    <t>バックアップ_DPCレセプト_診療行為レコード_算定日情報</t>
    <phoneticPr fontId="8"/>
  </si>
  <si>
    <t>REレコードの「レセプト総括区分」より取得</t>
    <rPh sb="19" eb="21">
      <t>シュトク</t>
    </rPh>
    <phoneticPr fontId="11"/>
  </si>
  <si>
    <t>バックアップ_DPCレセプト_医薬品レコード</t>
    <phoneticPr fontId="8"/>
  </si>
  <si>
    <t>バックアップ_DPCレセプト_医薬品レコード</t>
    <phoneticPr fontId="8"/>
  </si>
  <si>
    <t>バックアップ_DPCレセプト_医薬品レコード_算定日情報</t>
    <phoneticPr fontId="8"/>
  </si>
  <si>
    <t>バックアップ_DPCレセプト_医薬品レコード_算定日情報</t>
    <phoneticPr fontId="8"/>
  </si>
  <si>
    <t>バックアップ_DPCレセプト_臓器提供者レセプト情報レコード</t>
    <phoneticPr fontId="8"/>
  </si>
  <si>
    <t>バックアップ_DPCレセプト_臓器提供者レセプト情報レコード</t>
    <phoneticPr fontId="8"/>
  </si>
  <si>
    <t>バックアップ_患者情報モジュール_患者情報</t>
    <phoneticPr fontId="8"/>
  </si>
  <si>
    <t>バックアップ_患者情報モジュール_患者情報</t>
    <phoneticPr fontId="8"/>
  </si>
  <si>
    <t>診療年月日</t>
    <rPh sb="0" eb="2">
      <t>シンリョウ</t>
    </rPh>
    <rPh sb="2" eb="4">
      <t>ネンゲツ</t>
    </rPh>
    <rPh sb="4" eb="5">
      <t>ニチ</t>
    </rPh>
    <phoneticPr fontId="1"/>
  </si>
  <si>
    <t>shinryo_ymd</t>
  </si>
  <si>
    <t>データ種別</t>
    <rPh sb="3" eb="5">
      <t>シュベツ</t>
    </rPh>
    <phoneticPr fontId="1"/>
  </si>
  <si>
    <t>患者ID</t>
    <rPh sb="0" eb="2">
      <t>カンジャ</t>
    </rPh>
    <phoneticPr fontId="12"/>
  </si>
  <si>
    <t>master_id</t>
  </si>
  <si>
    <t>文書ユニークID</t>
  </si>
  <si>
    <t>uid</t>
  </si>
  <si>
    <t>患者情報SEQ</t>
    <rPh sb="0" eb="2">
      <t>カンジャ</t>
    </rPh>
    <rPh sb="2" eb="4">
      <t>ジョウホウ</t>
    </rPh>
    <phoneticPr fontId="1"/>
  </si>
  <si>
    <t>patient_seq</t>
  </si>
  <si>
    <t>主ID</t>
  </si>
  <si>
    <t>main_id</t>
  </si>
  <si>
    <t>主IDの種類コード</t>
    <rPh sb="0" eb="1">
      <t>シュ</t>
    </rPh>
    <phoneticPr fontId="1"/>
  </si>
  <si>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</si>
  <si>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</si>
  <si>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</si>
  <si>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</si>
  <si>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</si>
  <si>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</si>
  <si>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</si>
  <si>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</si>
  <si>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</si>
  <si>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</si>
  <si>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</si>
  <si>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</si>
  <si>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</si>
  <si>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</si>
  <si>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</si>
  <si>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</si>
  <si>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</si>
  <si>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</si>
  <si>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</si>
  <si>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</si>
  <si>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</si>
  <si>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</si>
  <si>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</si>
  <si>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</si>
  <si>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</si>
  <si>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</si>
  <si>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</si>
  <si>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</si>
  <si>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</si>
  <si>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</si>
  <si>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</si>
  <si>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</si>
  <si>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1"/>
  </si>
  <si>
    <t>MML headerブロックの「患者ID」を設定
/MmlHeader/masterId/mmlCm:Id</t>
    <rPh sb="16" eb="18">
      <t>カンジャ</t>
    </rPh>
    <rPh sb="22" eb="24">
      <t>セッテイ</t>
    </rPh>
    <phoneticPr fontId="1"/>
  </si>
  <si>
    <t>/MmlBody/MmlModuleItem/docInfo/docId/uidの値を設定</t>
    <rPh sb="41" eb="42">
      <t>アタイ</t>
    </rPh>
    <rPh sb="43" eb="45">
      <t>セッテイ</t>
    </rPh>
    <phoneticPr fontId="1"/>
  </si>
  <si>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</si>
  <si>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</si>
  <si>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</si>
  <si>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</si>
  <si>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1"/>
  </si>
  <si>
    <t>ISO 3166 A3 コード使用
例.日本:JPN</t>
    <rPh sb="18" eb="19">
      <t>レイ</t>
    </rPh>
    <rPh sb="20" eb="22">
      <t>ニホン</t>
    </rPh>
    <phoneticPr fontId="1"/>
  </si>
  <si>
    <t>MML0011　Marital Status (婚姻状態，HL7table0002準拠)</t>
  </si>
  <si>
    <t>true:死亡，false:生存</t>
    <rPh sb="5" eb="7">
      <t>シボウ</t>
    </rPh>
    <rPh sb="14" eb="16">
      <t>セイゾン</t>
    </rPh>
    <phoneticPr fontId="1"/>
  </si>
  <si>
    <t>YYYYMMDDHHMM</t>
  </si>
  <si>
    <t>バックアップ_診断履歴情報モジュール_診断履歴情報レコード</t>
    <phoneticPr fontId="8"/>
  </si>
  <si>
    <t>バックアップ_診断履歴情報モジュール_診断履歴情報レコード</t>
    <phoneticPr fontId="8"/>
  </si>
  <si>
    <t>データ種別</t>
    <rPh sb="3" eb="5">
      <t>シュベツ</t>
    </rPh>
    <phoneticPr fontId="12"/>
  </si>
  <si>
    <t>診断SEQ</t>
    <rPh sb="0" eb="2">
      <t>シンダン</t>
    </rPh>
    <phoneticPr fontId="1"/>
  </si>
  <si>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</si>
  <si>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</si>
  <si>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</si>
  <si>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</si>
  <si>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</si>
  <si>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</si>
  <si>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</si>
  <si>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</si>
  <si>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</si>
  <si>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</si>
  <si>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1"/>
  </si>
  <si>
    <t>mmlRd:startDate:YYYYMMDD</t>
  </si>
  <si>
    <t>mmlRd:endDate:YYYYMMDD</t>
  </si>
  <si>
    <t>MML0016　Outcome (転帰)</t>
  </si>
  <si>
    <t>mmlRd:firstEncounterDate:YYYYMMDD</t>
  </si>
  <si>
    <t>バックアップ_診断履歴情報モジュール_診断病名レコード</t>
    <phoneticPr fontId="8"/>
  </si>
  <si>
    <t>バックアップ_診断履歴情報モジュール_診断病名レコード</t>
    <phoneticPr fontId="8"/>
  </si>
  <si>
    <t>病名SEQ</t>
  </si>
  <si>
    <t>byomei_seq</t>
  </si>
  <si>
    <t>病名</t>
  </si>
  <si>
    <t>byomei</t>
  </si>
  <si>
    <t>病名コード値</t>
    <rPh sb="0" eb="2">
      <t>ビョウメイ</t>
    </rPh>
    <phoneticPr fontId="1"/>
  </si>
  <si>
    <t>byomei_code</t>
  </si>
  <si>
    <t>病名コード体系名</t>
    <rPh sb="0" eb="2">
      <t>ビョウメイ</t>
    </rPh>
    <phoneticPr fontId="1"/>
  </si>
  <si>
    <t>byomei_code_id</t>
  </si>
  <si>
    <t>mmlRd:dxItem単位に通番付与</t>
    <rPh sb="12" eb="14">
      <t>タンイ</t>
    </rPh>
    <rPh sb="15" eb="17">
      <t>ツウバン</t>
    </rPh>
    <rPh sb="17" eb="19">
      <t>フヨ</t>
    </rPh>
    <phoneticPr fontId="1"/>
  </si>
  <si>
    <t>diagnosisまたはdiagnosisContents</t>
  </si>
  <si>
    <t>mmlRd:code</t>
  </si>
  <si>
    <t>mmlRd:system</t>
  </si>
  <si>
    <t>バックアップ_診断履歴情報モジュール_診断分類レコード</t>
    <phoneticPr fontId="8"/>
  </si>
  <si>
    <t>バックアップ_診断履歴情報モジュール_診断分類レコード</t>
    <phoneticPr fontId="8"/>
  </si>
  <si>
    <t>分類SEQ</t>
    <rPh sb="0" eb="2">
      <t>ブンルイ</t>
    </rPh>
    <phoneticPr fontId="1"/>
  </si>
  <si>
    <t>bunrui_seq</t>
  </si>
  <si>
    <t>分類名</t>
  </si>
  <si>
    <t>bunrui_name</t>
  </si>
  <si>
    <t>分類コード</t>
  </si>
  <si>
    <t>bunrui_code</t>
  </si>
  <si>
    <t>mmlRd:categories単位に通番付与</t>
    <rPh sb="16" eb="18">
      <t>タンイ</t>
    </rPh>
    <rPh sb="19" eb="21">
      <t>ツウバン</t>
    </rPh>
    <rPh sb="21" eb="23">
      <t>フヨ</t>
    </rPh>
    <phoneticPr fontId="1"/>
  </si>
  <si>
    <t>mmlRd:category</t>
  </si>
  <si>
    <t>mmlRd:tableId=
MML0012　mainDiagnosis
MML0013　academicDiagnosis
MML0014　pathologicalDiagnosis
MML0015　confirmedDiagnosis</t>
  </si>
  <si>
    <t>バックアップ_経過記録情報モジュール_経過記録情報レコード</t>
    <phoneticPr fontId="8"/>
  </si>
  <si>
    <t>バックアップ_経過記録情報モジュール_経過記録情報レコード</t>
    <phoneticPr fontId="8"/>
  </si>
  <si>
    <t>経過記録SEQ</t>
  </si>
  <si>
    <t>keika_seq</t>
  </si>
  <si>
    <t>自由記載</t>
    <rPh sb="0" eb="2">
      <t>ジユウ</t>
    </rPh>
    <rPh sb="2" eb="4">
      <t>キサイ</t>
    </rPh>
    <phoneticPr fontId="1"/>
  </si>
  <si>
    <t>free_expression</t>
  </si>
  <si>
    <t>mmlPc:ProgressCourseModule単位に通番付与</t>
    <rPh sb="26" eb="28">
      <t>タンイ</t>
    </rPh>
    <rPh sb="29" eb="31">
      <t>ツウバン</t>
    </rPh>
    <rPh sb="31" eb="33">
      <t>フヨ</t>
    </rPh>
    <phoneticPr fontId="1"/>
  </si>
  <si>
    <t>mmlPc:FreeExpression
XHTML使用可</t>
    <rPh sb="26" eb="29">
      <t>シヨウカ</t>
    </rPh>
    <phoneticPr fontId="1"/>
  </si>
  <si>
    <t>バックアップ_経過記録情報モジュール_プロブレムレコード</t>
    <phoneticPr fontId="8"/>
  </si>
  <si>
    <t>バックアップ_経過記録情報モジュール_プロブレムレコード</t>
    <phoneticPr fontId="8"/>
  </si>
  <si>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</si>
  <si>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</si>
  <si>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</si>
  <si>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</si>
  <si>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</si>
  <si>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</si>
  <si>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1"/>
  </si>
  <si>
    <t>free_note</t>
  </si>
  <si>
    <t>客観的自由記載</t>
    <rPh sb="0" eb="3">
      <t>キャッカンテキ</t>
    </rPh>
    <rPh sb="3" eb="5">
      <t>ジユウ</t>
    </rPh>
    <rPh sb="5" eb="7">
      <t>キサイ</t>
    </rPh>
    <phoneticPr fontId="1"/>
  </si>
  <si>
    <t>free_expression_objective</t>
  </si>
  <si>
    <t>検査結果</t>
    <rPh sb="0" eb="2">
      <t>ケンサ</t>
    </rPh>
    <rPh sb="2" eb="4">
      <t>ケッカ</t>
    </rPh>
    <phoneticPr fontId="1"/>
  </si>
  <si>
    <t>test_result</t>
  </si>
  <si>
    <t>処方実施記録</t>
    <rPh sb="0" eb="2">
      <t>ショホウ</t>
    </rPh>
    <rPh sb="2" eb="4">
      <t>ジッシ</t>
    </rPh>
    <rPh sb="4" eb="6">
      <t>キロク</t>
    </rPh>
    <phoneticPr fontId="1"/>
  </si>
  <si>
    <t>shohou_jisshi_kiroku</t>
  </si>
  <si>
    <t>処置実施記録</t>
  </si>
  <si>
    <t>shochi_jisshi_kiroku</t>
  </si>
  <si>
    <t>検査オーダー</t>
  </si>
  <si>
    <t>kensa_order</t>
  </si>
  <si>
    <t>処方オーダー</t>
    <rPh sb="0" eb="2">
      <t>ショホウ</t>
    </rPh>
    <phoneticPr fontId="1"/>
  </si>
  <si>
    <t>shohou_order</t>
  </si>
  <si>
    <t>治療処置オーダー</t>
  </si>
  <si>
    <t>chiryo_order</t>
  </si>
  <si>
    <t>方針自由記載</t>
    <rPh sb="0" eb="2">
      <t>ホウシン</t>
    </rPh>
    <rPh sb="2" eb="4">
      <t>ジユウ</t>
    </rPh>
    <rPh sb="4" eb="6">
      <t>キサイ</t>
    </rPh>
    <phoneticPr fontId="1"/>
  </si>
  <si>
    <t>free_expression_plan</t>
  </si>
  <si>
    <t>mmlPc:problemItem単位に通番付与</t>
    <rPh sb="17" eb="19">
      <t>タンイ</t>
    </rPh>
    <rPh sb="20" eb="22">
      <t>ツウバン</t>
    </rPh>
    <rPh sb="22" eb="24">
      <t>フヨ</t>
    </rPh>
    <phoneticPr fontId="1"/>
  </si>
  <si>
    <t>mmlPc:problem
XHTML可</t>
    <rPh sb="19" eb="20">
      <t>カ</t>
    </rPh>
    <phoneticPr fontId="1"/>
  </si>
  <si>
    <t>mmlPc:problem@mmlPC:dxUid
関連するmmlRd:RegisteredDiagnosisModuleのuidを記載する．</t>
  </si>
  <si>
    <t>mmlPc:freeNotes
XHTML使用可</t>
    <rPh sb="21" eb="24">
      <t>シヨウカ</t>
    </rPh>
    <phoneticPr fontId="1"/>
  </si>
  <si>
    <t>mmlPc:objectiveNotes
XHTML使用可</t>
    <rPh sb="26" eb="29">
      <t>シヨウカ</t>
    </rPh>
    <phoneticPr fontId="1"/>
  </si>
  <si>
    <t>mmlPc:testResult
XHTML使用可</t>
    <rPh sb="22" eb="25">
      <t>シヨウカ</t>
    </rPh>
    <phoneticPr fontId="1"/>
  </si>
  <si>
    <t>mmlPc:rxRecord
XHTML使用可</t>
    <rPh sb="20" eb="23">
      <t>シヨウカ</t>
    </rPh>
    <phoneticPr fontId="1"/>
  </si>
  <si>
    <t>mmlPc:txRecord
XHTML使用可</t>
  </si>
  <si>
    <t>mmlPc:testOrder
XHTML使用可</t>
  </si>
  <si>
    <t>mmlPc:rxOrder
XHTML使用可</t>
  </si>
  <si>
    <t>mmlPc:txOrder
XHTML使用可</t>
    <rPh sb="19" eb="22">
      <t>シヨウカ</t>
    </rPh>
    <phoneticPr fontId="1"/>
  </si>
  <si>
    <t>mmlPc:planNotes
XHTML使用可</t>
    <rPh sb="21" eb="24">
      <t>シヨウカ</t>
    </rPh>
    <phoneticPr fontId="1"/>
  </si>
  <si>
    <t>バックアップ_経過記録情報モジュール_身体所見レコード</t>
    <phoneticPr fontId="8"/>
  </si>
  <si>
    <t>バックアップ_経過記録情報モジュール_身体所見レコード</t>
    <phoneticPr fontId="8"/>
  </si>
  <si>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</si>
  <si>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</si>
  <si>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</si>
  <si>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</si>
  <si>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</si>
  <si>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</si>
  <si>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</si>
  <si>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</si>
  <si>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1"/>
  </si>
  <si>
    <t>mmlPc:title</t>
  </si>
  <si>
    <t>mmlPc:result</t>
  </si>
  <si>
    <t>mmlPc:interpretation
XHTML可</t>
    <rPh sb="26" eb="27">
      <t>カ</t>
    </rPh>
    <phoneticPr fontId="1"/>
  </si>
  <si>
    <t>バックアップ_経過記録情報モジュール_アセスメントレコード</t>
    <phoneticPr fontId="8"/>
  </si>
  <si>
    <t>バックアップ_経過記録情報モジュール_アセスメントレコード</t>
    <phoneticPr fontId="8"/>
  </si>
  <si>
    <t>アセスメントSEQ</t>
  </si>
  <si>
    <t>assessment_item_seq</t>
  </si>
  <si>
    <t>アセスメント</t>
  </si>
  <si>
    <t>assessment_item</t>
  </si>
  <si>
    <t>mmlPc:assessmentItem単位に通番付与</t>
    <rPh sb="20" eb="22">
      <t>タンイ</t>
    </rPh>
    <rPh sb="23" eb="25">
      <t>ツウバン</t>
    </rPh>
    <rPh sb="25" eb="27">
      <t>フヨ</t>
    </rPh>
    <phoneticPr fontId="1"/>
  </si>
  <si>
    <t>mmlPc:assessmentItem
XHTML可</t>
    <rPh sb="26" eb="27">
      <t>カ</t>
    </rPh>
    <phoneticPr fontId="1"/>
  </si>
  <si>
    <t>バックアップ_経過記録情報モジュール_外部参照レコード</t>
    <phoneticPr fontId="8"/>
  </si>
  <si>
    <t>バックアップ_経過記録情報モジュール_外部参照レコード</t>
    <phoneticPr fontId="8"/>
  </si>
  <si>
    <t>外部参照元</t>
    <rPh sb="0" eb="2">
      <t>ガイブ</t>
    </rPh>
    <rPh sb="2" eb="4">
      <t>サンショウ</t>
    </rPh>
    <rPh sb="4" eb="5">
      <t>モト</t>
    </rPh>
    <phoneticPr fontId="1"/>
  </si>
  <si>
    <t>gaibu_sansyo_moto</t>
  </si>
  <si>
    <t>外部参照SEQ</t>
    <rPh sb="0" eb="2">
      <t>ガイブ</t>
    </rPh>
    <rPh sb="2" eb="4">
      <t>サンショウ</t>
    </rPh>
    <phoneticPr fontId="1"/>
  </si>
  <si>
    <t>gaibu_sansyo_seq</t>
  </si>
  <si>
    <t>コンテンツ種別</t>
    <rPh sb="5" eb="7">
      <t>シュベツ</t>
    </rPh>
    <phoneticPr fontId="1"/>
  </si>
  <si>
    <t>content_type</t>
  </si>
  <si>
    <t>医学的役割</t>
    <rPh sb="0" eb="3">
      <t>イガクテキ</t>
    </rPh>
    <rPh sb="3" eb="5">
      <t>ヤクワリ</t>
    </rPh>
    <phoneticPr fontId="1"/>
  </si>
  <si>
    <t>igaku_role</t>
  </si>
  <si>
    <t>外部参照ファイル名</t>
    <rPh sb="0" eb="2">
      <t>ガイブ</t>
    </rPh>
    <rPh sb="2" eb="4">
      <t>サンショウ</t>
    </rPh>
    <rPh sb="8" eb="9">
      <t>メイ</t>
    </rPh>
    <phoneticPr fontId="1"/>
  </si>
  <si>
    <t>gaibu_sansyo_file_name</t>
  </si>
  <si>
    <t>外部参照先</t>
    <rPh sb="0" eb="2">
      <t>ガイブ</t>
    </rPh>
    <rPh sb="2" eb="4">
      <t>サンショウ</t>
    </rPh>
    <rPh sb="4" eb="5">
      <t>サキ</t>
    </rPh>
    <phoneticPr fontId="1"/>
  </si>
  <si>
    <t>gaibu_sansyo_saki</t>
  </si>
  <si>
    <t>外部参照内容</t>
    <rPh sb="0" eb="2">
      <t>ガイブ</t>
    </rPh>
    <rPh sb="2" eb="4">
      <t>サンショウ</t>
    </rPh>
    <rPh sb="4" eb="6">
      <t>ナイヨウ</t>
    </rPh>
    <phoneticPr fontId="1"/>
  </si>
  <si>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</si>
  <si>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1"/>
  </si>
  <si>
    <t>mmlCm:extRef単位に通番付与</t>
    <rPh sb="12" eb="14">
      <t>タンイ</t>
    </rPh>
    <rPh sb="15" eb="17">
      <t>ツウバン</t>
    </rPh>
    <rPh sb="17" eb="19">
      <t>フヨ</t>
    </rPh>
    <phoneticPr fontId="1"/>
  </si>
  <si>
    <t>mmlCm:extRef@mmlCm:contentType</t>
  </si>
  <si>
    <t>mmlCm:extRef@mmlCm:medicalRole
MML0033 Medical Role</t>
  </si>
  <si>
    <t>mmlCm:extRef@mmlCm:title</t>
  </si>
  <si>
    <t>mmlCm:extRef@mmlCm:href</t>
  </si>
  <si>
    <t>mmlCm:hrefの参照ファイル</t>
    <rPh sb="11" eb="13">
      <t>サンショウ</t>
    </rPh>
    <phoneticPr fontId="1"/>
  </si>
  <si>
    <t>バックアップ_臨床サマリーモジュール_臨床サマリー情報レコード</t>
    <phoneticPr fontId="8"/>
  </si>
  <si>
    <t>バックアップ_臨床サマリーモジュール_臨床サマリー情報レコード</t>
    <phoneticPr fontId="8"/>
  </si>
  <si>
    <t>臨床サマリーSEQ</t>
    <rPh sb="0" eb="2">
      <t>リンショウ</t>
    </rPh>
    <phoneticPr fontId="12"/>
  </si>
  <si>
    <t>summary_seq</t>
  </si>
  <si>
    <t>サマリー対象期間の開始日</t>
  </si>
  <si>
    <t>history_start_ymd</t>
  </si>
  <si>
    <t>サマリー対象期間の終了日</t>
    <rPh sb="9" eb="11">
      <t>シュウリョウ</t>
    </rPh>
    <phoneticPr fontId="5"/>
  </si>
  <si>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</si>
  <si>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</si>
  <si>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</si>
  <si>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</si>
  <si>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</si>
  <si>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</si>
  <si>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</si>
  <si>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</si>
  <si>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</si>
  <si>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</si>
  <si>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</si>
  <si>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</si>
  <si>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</si>
  <si>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</si>
  <si>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</si>
  <si>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</si>
  <si>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</si>
  <si>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</si>
  <si>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</si>
  <si>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</si>
  <si>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</si>
  <si>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1"/>
  </si>
  <si>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</si>
  <si>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</si>
  <si>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</si>
  <si>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</si>
  <si>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1"/>
  </si>
  <si>
    <t>mmlSm:chiefComplaints
XHTML使用可</t>
    <rPh sb="27" eb="30">
      <t>シヨウカ</t>
    </rPh>
    <phoneticPr fontId="1"/>
  </si>
  <si>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</si>
  <si>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</si>
  <si>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</si>
  <si>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</si>
  <si>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</si>
  <si>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</si>
  <si>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</si>
  <si>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8"/>
  </si>
  <si>
    <t>バックアップ_臨床サマリーモジュール_外来受診レコード</t>
    <phoneticPr fontId="8"/>
  </si>
  <si>
    <t>個々の外来受診歴SEQ</t>
  </si>
  <si>
    <t>gairai_seq</t>
  </si>
  <si>
    <t>外来受診年月日</t>
    <rPh sb="4" eb="7">
      <t>ネンガッピ</t>
    </rPh>
    <phoneticPr fontId="1"/>
  </si>
  <si>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</si>
  <si>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</si>
  <si>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</si>
  <si>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</si>
  <si>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</si>
  <si>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</si>
  <si>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</si>
  <si>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1"/>
  </si>
  <si>
    <t>mmlSm:date
YYYYMMDD</t>
  </si>
  <si>
    <t>mmlSm:outPatientCondition</t>
  </si>
  <si>
    <t>mmlSm:outPatientCondition@mmlSm:first
false：再診 true：初診</t>
    <rPh sb="44" eb="46">
      <t>サイシン</t>
    </rPh>
    <rPh sb="52" eb="54">
      <t>ショシン</t>
    </rPh>
    <phoneticPr fontId="1"/>
  </si>
  <si>
    <t>mmlSm:outPatientCondition@mmlSm:emergency
false：通常 true：救急</t>
    <rPh sb="48" eb="50">
      <t>ツウジョウ</t>
    </rPh>
    <rPh sb="56" eb="58">
      <t>キュウキュウ</t>
    </rPh>
    <phoneticPr fontId="1"/>
  </si>
  <si>
    <t>バックアップ_臨床サマリーモジュール_入院レコード</t>
    <phoneticPr fontId="8"/>
  </si>
  <si>
    <t>バックアップ_臨床サマリーモジュール_入院レコード</t>
    <phoneticPr fontId="8"/>
  </si>
  <si>
    <t>個々の入院歴SEQ</t>
    <rPh sb="0" eb="2">
      <t>ココ</t>
    </rPh>
    <rPh sb="3" eb="5">
      <t>ニュウイン</t>
    </rPh>
    <rPh sb="5" eb="6">
      <t>レキ</t>
    </rPh>
    <phoneticPr fontId="1"/>
  </si>
  <si>
    <t>nyuin_seq</t>
  </si>
  <si>
    <t>入院（転入）日</t>
  </si>
  <si>
    <t>入院時状態</t>
  </si>
  <si>
    <t>nyuin_state</t>
  </si>
  <si>
    <t>緊急入院フラグ</t>
  </si>
  <si>
    <t>emergency_nyuin_flag</t>
  </si>
  <si>
    <t>紹介元施設</t>
    <rPh sb="3" eb="5">
      <t>シセツ</t>
    </rPh>
    <phoneticPr fontId="5"/>
  </si>
  <si>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</si>
  <si>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</si>
  <si>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</si>
  <si>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</si>
  <si>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</si>
  <si>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</si>
  <si>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</si>
  <si>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1"/>
  </si>
  <si>
    <t>mmlSm:admission/mmlSm:date
YYYYMMDD</t>
  </si>
  <si>
    <t>mmlSm:admission/mmlSm:admissionCondition</t>
  </si>
  <si>
    <t>mmlSm:admission/mmlSm:admissionCondition@mmlSm:emergency
false：通常 true：緊急</t>
    <rPh sb="63" eb="65">
      <t>ツウジョウ</t>
    </rPh>
    <rPh sb="71" eb="73">
      <t>キンキュウ</t>
    </rPh>
    <phoneticPr fontId="1"/>
  </si>
  <si>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</si>
  <si>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</si>
  <si>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</si>
  <si>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</si>
  <si>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1"/>
  </si>
  <si>
    <t>バックアップ_臨床サマリーモジュール_経過記録レコード</t>
    <phoneticPr fontId="8"/>
  </si>
  <si>
    <t>バックアップ_臨床サマリーモジュール_経過記録レコード</t>
    <phoneticPr fontId="8"/>
  </si>
  <si>
    <t>経過記録</t>
  </si>
  <si>
    <t>keika_kiroku</t>
  </si>
  <si>
    <t>イベント発生日時</t>
  </si>
  <si>
    <t>event_date</t>
  </si>
  <si>
    <t>関連文書のuid</t>
    <rPh sb="0" eb="2">
      <t>カンレン</t>
    </rPh>
    <rPh sb="2" eb="4">
      <t>ブンショ</t>
    </rPh>
    <phoneticPr fontId="5"/>
  </si>
  <si>
    <t>kanren_doc_uid</t>
  </si>
  <si>
    <t>関連文書_関連の種別</t>
    <rPh sb="0" eb="2">
      <t>カンレン</t>
    </rPh>
    <rPh sb="2" eb="4">
      <t>ブンショ</t>
    </rPh>
    <phoneticPr fontId="5"/>
  </si>
  <si>
    <t>kanren_doc_type</t>
  </si>
  <si>
    <t>mmlSm:clinicalRecord単位で通番付与</t>
    <rPh sb="20" eb="22">
      <t>タンイ</t>
    </rPh>
    <rPh sb="23" eb="25">
      <t>ツウバン</t>
    </rPh>
    <rPh sb="25" eb="27">
      <t>フヨ</t>
    </rPh>
    <phoneticPr fontId="1"/>
  </si>
  <si>
    <t>mmlSm:clinicalRecord
XHTML使用可</t>
  </si>
  <si>
    <t>mmlSm:clinicalRecord@mmlSm:date
YYYYMMDDHHMM</t>
  </si>
  <si>
    <t>mmlSm:clinicalRecord/mmlSm:relatedDoc
関連文書のuid</t>
    <rPh sb="38" eb="40">
      <t>カンレン</t>
    </rPh>
    <rPh sb="40" eb="42">
      <t>ブンショ</t>
    </rPh>
    <phoneticPr fontId="1"/>
  </si>
  <si>
    <t xml:space="preserve">mmlSm:clinicalRecord/mmlSm:relatedDoc@relation
MML0008　Document relation (関連文書との関係) </t>
  </si>
  <si>
    <t>バックアップ_臨床サマリーモジュール_検査結果レコード</t>
    <phoneticPr fontId="8"/>
  </si>
  <si>
    <t>バックアップ_臨床サマリーモジュール_検査結果レコード</t>
    <phoneticPr fontId="8"/>
  </si>
  <si>
    <t>臨床サマリーSEQ</t>
    <rPh sb="0" eb="2">
      <t>リンショウ</t>
    </rPh>
    <phoneticPr fontId="13"/>
  </si>
  <si>
    <t>個々の検査結果SEQ</t>
    <rPh sb="0" eb="2">
      <t>ココ</t>
    </rPh>
    <rPh sb="3" eb="5">
      <t>ケンサ</t>
    </rPh>
    <rPh sb="5" eb="7">
      <t>ケッカ</t>
    </rPh>
    <phoneticPr fontId="13"/>
  </si>
  <si>
    <t>kensa_seq</t>
  </si>
  <si>
    <t>個々の検査結果</t>
  </si>
  <si>
    <t>kensa_result_value</t>
  </si>
  <si>
    <t>mmlSm:testResult単位に通番付与</t>
    <rPh sb="16" eb="18">
      <t>タンイ</t>
    </rPh>
    <rPh sb="19" eb="21">
      <t>ツウバン</t>
    </rPh>
    <rPh sb="21" eb="23">
      <t>フヨ</t>
    </rPh>
    <phoneticPr fontId="1"/>
  </si>
  <si>
    <t>mmlSm:testResult
XHTML使用可</t>
    <rPh sb="22" eb="25">
      <t>シヨウカ</t>
    </rPh>
    <phoneticPr fontId="1"/>
  </si>
  <si>
    <t>mmlSm:testResult@mmlSm:date
YYYYMMDDHHMM</t>
  </si>
  <si>
    <t>バックアップ_検歴情報モジュール_検歴情報</t>
    <phoneticPr fontId="8"/>
  </si>
  <si>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</si>
  <si>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</si>
  <si>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</si>
  <si>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</si>
  <si>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</si>
  <si>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</si>
  <si>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</si>
  <si>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</si>
  <si>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</si>
  <si>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</si>
  <si>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</si>
  <si>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</si>
  <si>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</si>
  <si>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</si>
  <si>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</si>
  <si>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</si>
  <si>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</si>
  <si>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</si>
  <si>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</si>
  <si>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</si>
  <si>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1"/>
  </si>
  <si>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</si>
  <si>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</si>
  <si>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</si>
  <si>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</si>
  <si>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</si>
  <si>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</si>
  <si>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</si>
  <si>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</si>
  <si>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</si>
  <si>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</si>
  <si>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</si>
  <si>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</si>
  <si>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</si>
  <si>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</si>
  <si>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</si>
  <si>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</si>
  <si>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</si>
  <si>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</si>
  <si>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</si>
  <si>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</si>
  <si>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</si>
  <si>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</si>
  <si>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</si>
  <si>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</si>
  <si>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</si>
  <si>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1"/>
  </si>
  <si>
    <t>mmlLb:set@mmlLb:setCodeId
使用したテーブル名</t>
    <rPh sb="26" eb="28">
      <t>シヨウ</t>
    </rPh>
    <rPh sb="34" eb="35">
      <t>メイ</t>
    </rPh>
    <phoneticPr fontId="1"/>
  </si>
  <si>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</si>
  <si>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</si>
  <si>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</si>
  <si>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</si>
  <si>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</si>
  <si>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</si>
  <si>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1"/>
  </si>
  <si>
    <t>mmlLb:ward@mmlLb:wardCodeId
使用したテーブル名</t>
    <rPh sb="28" eb="30">
      <t>シヨウ</t>
    </rPh>
    <rPh sb="36" eb="37">
      <t>メイ</t>
    </rPh>
    <phoneticPr fontId="1"/>
  </si>
  <si>
    <t>mmlLb:repMemoF</t>
  </si>
  <si>
    <t>バックアップ_検歴情報モジュール_検歴検体材料</t>
    <phoneticPr fontId="8"/>
  </si>
  <si>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</si>
  <si>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</si>
  <si>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</si>
  <si>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</si>
  <si>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</si>
  <si>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</si>
  <si>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</si>
  <si>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</si>
  <si>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</si>
  <si>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</si>
  <si>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</si>
  <si>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</si>
  <si>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1"/>
  </si>
  <si>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</si>
  <si>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</si>
  <si>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1"/>
  </si>
  <si>
    <t>mmlLb:specimenName@mmlLb:spCodeId
使用したテーブル名</t>
    <rPh sb="34" eb="36">
      <t>シヨウ</t>
    </rPh>
    <rPh sb="42" eb="43">
      <t>メイ</t>
    </rPh>
    <phoneticPr fontId="1"/>
  </si>
  <si>
    <t>mmlLb:spcMemoF</t>
  </si>
  <si>
    <t>バックアップ_検歴情報モジュール_検歴項目情報</t>
    <phoneticPr fontId="8"/>
  </si>
  <si>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</si>
  <si>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</si>
  <si>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</si>
  <si>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</si>
  <si>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</si>
  <si>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</si>
  <si>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</si>
  <si>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</si>
  <si>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</si>
  <si>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</si>
  <si>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</si>
  <si>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</si>
  <si>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</si>
  <si>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</si>
  <si>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</si>
  <si>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</si>
  <si>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</si>
  <si>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</si>
  <si>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</si>
  <si>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</si>
  <si>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1"/>
  </si>
  <si>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</si>
  <si>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</si>
  <si>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</si>
  <si>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</si>
  <si>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</si>
  <si>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</si>
  <si>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</si>
  <si>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</si>
  <si>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</si>
  <si>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</si>
  <si>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</si>
  <si>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</si>
  <si>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</si>
  <si>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</si>
  <si>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</si>
  <si>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</si>
  <si>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1"/>
  </si>
  <si>
    <t>mmlLb:item単位に通番付与</t>
    <rPh sb="10" eb="12">
      <t>タンイ</t>
    </rPh>
    <rPh sb="13" eb="17">
      <t>ツウバンフヨ</t>
    </rPh>
    <phoneticPr fontId="1"/>
  </si>
  <si>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</si>
  <si>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</si>
  <si>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</si>
  <si>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</si>
  <si>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</si>
  <si>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</si>
  <si>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</si>
  <si>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</si>
  <si>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</si>
  <si>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</si>
  <si>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</si>
  <si>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</si>
  <si>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</si>
  <si>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</si>
  <si>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</si>
  <si>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1"/>
  </si>
  <si>
    <t>mmlLb:unit@mmlLb:uCodeId
使用したテーブル名</t>
    <rPh sb="25" eb="27">
      <t>シヨウ</t>
    </rPh>
    <rPh sb="33" eb="34">
      <t>メイ</t>
    </rPh>
    <phoneticPr fontId="1"/>
  </si>
  <si>
    <t>mmlLb:itemMemoF</t>
  </si>
  <si>
    <t>バックアップ_バイタルサインモジュール_バイタルサイン</t>
    <phoneticPr fontId="8"/>
  </si>
  <si>
    <t>バイタルSEQ</t>
  </si>
  <si>
    <t>vital_seq</t>
  </si>
  <si>
    <t>診療科名</t>
    <rPh sb="3" eb="4">
      <t>メイ</t>
    </rPh>
    <phoneticPr fontId="5"/>
  </si>
  <si>
    <t>department_name</t>
  </si>
  <si>
    <t>department_code</t>
  </si>
  <si>
    <t>病棟</t>
  </si>
  <si>
    <t>ward</t>
  </si>
  <si>
    <t>病棟コードID</t>
  </si>
  <si>
    <t>ward_code_id</t>
  </si>
  <si>
    <t>バイタルサインの計測時間</t>
  </si>
  <si>
    <t>vital_sign_time</t>
  </si>
  <si>
    <t>計測手順</t>
    <rPh sb="2" eb="4">
      <t>テジュン</t>
    </rPh>
    <phoneticPr fontId="5"/>
  </si>
  <si>
    <t>keisoku_tejun</t>
  </si>
  <si>
    <t>計測器具</t>
    <rPh sb="2" eb="4">
      <t>キグ</t>
    </rPh>
    <phoneticPr fontId="5"/>
  </si>
  <si>
    <t>keisoku_device</t>
  </si>
  <si>
    <t>計測部位</t>
    <rPh sb="2" eb="4">
      <t>ブイ</t>
    </rPh>
    <phoneticPr fontId="5"/>
  </si>
  <si>
    <t>keisoku_bui</t>
  </si>
  <si>
    <t>計測時体位</t>
    <rPh sb="2" eb="3">
      <t>ジ</t>
    </rPh>
    <rPh sb="3" eb="5">
      <t>タイイ</t>
    </rPh>
    <phoneticPr fontId="5"/>
  </si>
  <si>
    <t>keisoku_position</t>
  </si>
  <si>
    <t>計測方法コメント</t>
    <rPh sb="0" eb="2">
      <t>ケイソク</t>
    </rPh>
    <rPh sb="2" eb="4">
      <t>ホウホウ</t>
    </rPh>
    <phoneticPr fontId="5"/>
  </si>
  <si>
    <t>keisoku_method_comment</t>
  </si>
  <si>
    <t>記録コメント</t>
    <rPh sb="0" eb="2">
      <t>キロク</t>
    </rPh>
    <phoneticPr fontId="5"/>
  </si>
  <si>
    <t>kiroku_comment</t>
  </si>
  <si>
    <t>mmlVs:VitalSignModule単位に通番付与</t>
  </si>
  <si>
    <t>mmlVs:department</t>
  </si>
  <si>
    <t>mmlVs:department@mmlVs:depCode
MML0028</t>
  </si>
  <si>
    <t>mmlVs:ward</t>
  </si>
  <si>
    <t>mmlVs:ward@mmlVs:wardCode
ユーザ指定</t>
    <rPh sb="29" eb="31">
      <t>シテイ</t>
    </rPh>
    <phoneticPr fontId="1"/>
  </si>
  <si>
    <t>mmlVs:ward@mmlVs:wardCodeId
使用したテーブル名</t>
    <rPh sb="28" eb="30">
      <t>シヨウ</t>
    </rPh>
    <rPh sb="36" eb="37">
      <t>メイ</t>
    </rPh>
    <phoneticPr fontId="1"/>
  </si>
  <si>
    <t>mmlVs:observedTime
YYYYMMDDHHMM</t>
  </si>
  <si>
    <t>mmlVs:procedure</t>
  </si>
  <si>
    <t>mmlVs:device</t>
  </si>
  <si>
    <t>mmlVs:bodyLocation</t>
  </si>
  <si>
    <t>mmlVs:position</t>
  </si>
  <si>
    <t>mmlVs:protMemo</t>
  </si>
  <si>
    <t>mmlVs:vsMemo</t>
  </si>
  <si>
    <t>バックアップ_バイタルサインモジュール_記録項目</t>
    <phoneticPr fontId="8"/>
  </si>
  <si>
    <t>項目SEQ</t>
    <rPh sb="0" eb="1">
      <t>コウ</t>
    </rPh>
    <rPh sb="1" eb="2">
      <t>メ</t>
    </rPh>
    <phoneticPr fontId="12"/>
  </si>
  <si>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</si>
  <si>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</si>
  <si>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</si>
  <si>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</si>
  <si>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</si>
  <si>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</si>
  <si>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</si>
  <si>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</si>
  <si>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</si>
  <si>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</si>
  <si>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</si>
  <si>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</si>
  <si>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8"/>
  </si>
  <si>
    <t>体温表SEQ</t>
    <rPh sb="0" eb="2">
      <t>タイオン</t>
    </rPh>
    <rPh sb="2" eb="3">
      <t>ヒョウ</t>
    </rPh>
    <phoneticPr fontId="12"/>
  </si>
  <si>
    <t>taionhyo_seq</t>
  </si>
  <si>
    <t>mmlFs:FlowSheetModule単位に通番付与</t>
  </si>
  <si>
    <t>バックアップ_体温表モジュール_記録項目</t>
    <phoneticPr fontId="8"/>
  </si>
  <si>
    <t>項目SEQ</t>
    <rPh sb="0" eb="2">
      <t>コウモク</t>
    </rPh>
    <phoneticPr fontId="12"/>
  </si>
  <si>
    <t>バックアップ_処方データ</t>
    <phoneticPr fontId="8"/>
  </si>
  <si>
    <t>データ識別番号</t>
  </si>
  <si>
    <t>文字列</t>
    <rPh sb="0" eb="3">
      <t>モジレツ</t>
    </rPh>
    <phoneticPr fontId="13"/>
  </si>
  <si>
    <t>診療年月</t>
    <rPh sb="0" eb="2">
      <t>シンリョウ</t>
    </rPh>
    <rPh sb="2" eb="4">
      <t>ネンゲツ</t>
    </rPh>
    <phoneticPr fontId="13"/>
  </si>
  <si>
    <t>データ区分</t>
    <rPh sb="3" eb="5">
      <t>クブン</t>
    </rPh>
    <phoneticPr fontId="13"/>
  </si>
  <si>
    <t>順序番号</t>
    <rPh sb="0" eb="2">
      <t>ジュンジョ</t>
    </rPh>
    <rPh sb="2" eb="4">
      <t>バンゴウ</t>
    </rPh>
    <phoneticPr fontId="13"/>
  </si>
  <si>
    <t>行為明細番号</t>
    <rPh sb="0" eb="2">
      <t>コウイ</t>
    </rPh>
    <rPh sb="2" eb="4">
      <t>メイサイ</t>
    </rPh>
    <rPh sb="4" eb="6">
      <t>バンゴウ</t>
    </rPh>
    <phoneticPr fontId="13"/>
  </si>
  <si>
    <t>解釈番号</t>
    <rPh sb="0" eb="2">
      <t>カイシャク</t>
    </rPh>
    <rPh sb="2" eb="4">
      <t>バンゴウ</t>
    </rPh>
    <phoneticPr fontId="13"/>
  </si>
  <si>
    <t>使用量</t>
    <rPh sb="0" eb="2">
      <t>シヨウ</t>
    </rPh>
    <rPh sb="2" eb="3">
      <t>リョウ</t>
    </rPh>
    <phoneticPr fontId="13"/>
  </si>
  <si>
    <t>実数</t>
    <rPh sb="0" eb="2">
      <t>ジッスウ</t>
    </rPh>
    <phoneticPr fontId="13"/>
  </si>
  <si>
    <t>基準単位</t>
    <rPh sb="0" eb="2">
      <t>キジュン</t>
    </rPh>
    <rPh sb="2" eb="4">
      <t>タンイ</t>
    </rPh>
    <phoneticPr fontId="13"/>
  </si>
  <si>
    <t>明細点数・金額</t>
    <rPh sb="0" eb="2">
      <t>メイサイ</t>
    </rPh>
    <rPh sb="2" eb="4">
      <t>テンスウ</t>
    </rPh>
    <rPh sb="5" eb="7">
      <t>キンガク</t>
    </rPh>
    <phoneticPr fontId="13"/>
  </si>
  <si>
    <t>円・点区分</t>
    <rPh sb="0" eb="1">
      <t>エン</t>
    </rPh>
    <rPh sb="2" eb="3">
      <t>テン</t>
    </rPh>
    <rPh sb="3" eb="5">
      <t>クブン</t>
    </rPh>
    <phoneticPr fontId="13"/>
  </si>
  <si>
    <t>行為明細区分情報</t>
    <rPh sb="0" eb="2">
      <t>コウイ</t>
    </rPh>
    <rPh sb="2" eb="4">
      <t>メイサイ</t>
    </rPh>
    <rPh sb="4" eb="6">
      <t>クブン</t>
    </rPh>
    <rPh sb="6" eb="8">
      <t>ジョウホウ</t>
    </rPh>
    <phoneticPr fontId="13"/>
  </si>
  <si>
    <t>行為回数</t>
    <rPh sb="0" eb="2">
      <t>コウイ</t>
    </rPh>
    <rPh sb="2" eb="4">
      <t>カイスウ</t>
    </rPh>
    <phoneticPr fontId="13"/>
  </si>
  <si>
    <t>レセプト種別コード</t>
    <rPh sb="4" eb="6">
      <t>シュベツ</t>
    </rPh>
    <phoneticPr fontId="13"/>
  </si>
  <si>
    <t>実施年月日</t>
    <rPh sb="0" eb="2">
      <t>ジッシ</t>
    </rPh>
    <rPh sb="2" eb="5">
      <t>ネンガッピ</t>
    </rPh>
    <phoneticPr fontId="13"/>
  </si>
  <si>
    <t>レセプト科区分</t>
    <rPh sb="4" eb="5">
      <t>カ</t>
    </rPh>
    <rPh sb="5" eb="7">
      <t>クブン</t>
    </rPh>
    <phoneticPr fontId="13"/>
  </si>
  <si>
    <t>入外区分</t>
    <rPh sb="0" eb="1">
      <t>ニュウ</t>
    </rPh>
    <rPh sb="1" eb="2">
      <t>ガイ</t>
    </rPh>
    <rPh sb="2" eb="4">
      <t>クブン</t>
    </rPh>
    <phoneticPr fontId="13"/>
  </si>
  <si>
    <t>シーケンス番号</t>
  </si>
  <si>
    <t>seq_no</t>
  </si>
  <si>
    <t>入院EFファイル &amp;外来EFファイルより取得</t>
    <rPh sb="10" eb="12">
      <t>ガイライ</t>
    </rPh>
    <rPh sb="20" eb="22">
      <t>シュトク</t>
    </rPh>
    <phoneticPr fontId="13"/>
  </si>
  <si>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3"/>
  </si>
  <si>
    <t>入院EFファイル &amp;外来EFファイルより取得
9桁かつ、’6’始まり限定</t>
    <rPh sb="34" eb="36">
      <t>ゲンテイ</t>
    </rPh>
    <phoneticPr fontId="13"/>
  </si>
  <si>
    <t>入院EFファイル &amp;外来EFファイルより取得
1:円単位 0:点単位</t>
    <rPh sb="10" eb="12">
      <t>ガイライ</t>
    </rPh>
    <rPh sb="20" eb="22">
      <t>シュトク</t>
    </rPh>
    <phoneticPr fontId="13"/>
  </si>
  <si>
    <t>参照元のテーブルにより以下の通り設定
1:外来 0:入院</t>
    <rPh sb="0" eb="2">
      <t>サンショウ</t>
    </rPh>
    <rPh sb="2" eb="3">
      <t>モト</t>
    </rPh>
    <rPh sb="11" eb="13">
      <t>イカ</t>
    </rPh>
    <rPh sb="14" eb="15">
      <t>トオ</t>
    </rPh>
    <rPh sb="16" eb="18">
      <t>セッテイ</t>
    </rPh>
    <phoneticPr fontId="13"/>
  </si>
  <si>
    <t>レコード連番</t>
    <rPh sb="4" eb="6">
      <t>レンバン</t>
    </rPh>
    <phoneticPr fontId="13"/>
  </si>
  <si>
    <t>バックアップ_診療行為データ</t>
    <phoneticPr fontId="8"/>
  </si>
  <si>
    <t>出来高実績点数</t>
    <rPh sb="0" eb="2">
      <t>デキ</t>
    </rPh>
    <rPh sb="2" eb="3">
      <t>ダカ</t>
    </rPh>
    <rPh sb="3" eb="5">
      <t>ジッセキ</t>
    </rPh>
    <rPh sb="5" eb="7">
      <t>テンスウ</t>
    </rPh>
    <phoneticPr fontId="13"/>
  </si>
  <si>
    <t>行為点数</t>
    <rPh sb="0" eb="2">
      <t>コウイ</t>
    </rPh>
    <rPh sb="2" eb="4">
      <t>テンスウ</t>
    </rPh>
    <phoneticPr fontId="13"/>
  </si>
  <si>
    <t>行為薬剤料</t>
    <rPh sb="0" eb="2">
      <t>コウイ</t>
    </rPh>
    <rPh sb="2" eb="4">
      <t>ヤクザイ</t>
    </rPh>
    <rPh sb="4" eb="5">
      <t>リョウ</t>
    </rPh>
    <phoneticPr fontId="13"/>
  </si>
  <si>
    <t>行為材料料</t>
    <rPh sb="0" eb="2">
      <t>コウイ</t>
    </rPh>
    <rPh sb="2" eb="4">
      <t>ザイリョウ</t>
    </rPh>
    <rPh sb="4" eb="5">
      <t>リョウ</t>
    </rPh>
    <phoneticPr fontId="13"/>
  </si>
  <si>
    <t>入院EFファイル &amp;外来EFファイルより取得
9桁かつ、’1’始まり限定</t>
    <rPh sb="34" eb="36">
      <t>ゲンテイ</t>
    </rPh>
    <phoneticPr fontId="13"/>
  </si>
  <si>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</si>
  <si>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</si>
  <si>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</si>
  <si>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8"/>
  </si>
  <si>
    <t>取込年月</t>
    <rPh sb="0" eb="2">
      <t>トリコミ</t>
    </rPh>
    <rPh sb="2" eb="4">
      <t>ネンゲツ</t>
    </rPh>
    <phoneticPr fontId="13"/>
  </si>
  <si>
    <t>請求年月</t>
    <rPh sb="0" eb="2">
      <t>セイキュウ</t>
    </rPh>
    <rPh sb="2" eb="4">
      <t>ネンゲツ</t>
    </rPh>
    <phoneticPr fontId="26"/>
  </si>
  <si>
    <t>情報元区分</t>
    <rPh sb="0" eb="2">
      <t>ジョウホウ</t>
    </rPh>
    <rPh sb="2" eb="3">
      <t>モト</t>
    </rPh>
    <rPh sb="3" eb="5">
      <t>クブン</t>
    </rPh>
    <phoneticPr fontId="13"/>
  </si>
  <si>
    <t>jyouhoumoto_kubun</t>
  </si>
  <si>
    <t>レセプト番号</t>
    <rPh sb="4" eb="6">
      <t>バンゴウ</t>
    </rPh>
    <phoneticPr fontId="13"/>
  </si>
  <si>
    <t>行番号</t>
    <rPh sb="0" eb="3">
      <t>ギョウバンゴウ</t>
    </rPh>
    <phoneticPr fontId="13"/>
  </si>
  <si>
    <t>カルテ番号等</t>
  </si>
  <si>
    <t>レセプト総括区分</t>
    <rPh sb="4" eb="6">
      <t>ソウカツ</t>
    </rPh>
    <rPh sb="6" eb="8">
      <t>クブン</t>
    </rPh>
    <phoneticPr fontId="13"/>
  </si>
  <si>
    <t>文字列</t>
    <rPh sb="0" eb="3">
      <t>モジレツ</t>
    </rPh>
    <phoneticPr fontId="14"/>
  </si>
  <si>
    <t>レセプト種別</t>
  </si>
  <si>
    <t>疑いフラグ</t>
    <rPh sb="0" eb="1">
      <t>ウタガ</t>
    </rPh>
    <phoneticPr fontId="13"/>
  </si>
  <si>
    <t>utagai_f</t>
  </si>
  <si>
    <t>システムへ取り込む年月（YYYYMM）</t>
    <rPh sb="5" eb="6">
      <t>ト</t>
    </rPh>
    <rPh sb="7" eb="8">
      <t>コ</t>
    </rPh>
    <rPh sb="9" eb="11">
      <t>ネンゲツ</t>
    </rPh>
    <phoneticPr fontId="13"/>
  </si>
  <si>
    <t>REレコードより取得</t>
    <rPh sb="8" eb="10">
      <t>シュトク</t>
    </rPh>
    <phoneticPr fontId="13"/>
  </si>
  <si>
    <t>IRレコードの「請求年月」より取得</t>
    <rPh sb="8" eb="10">
      <t>セイキュウ</t>
    </rPh>
    <rPh sb="10" eb="12">
      <t>ネンゲツ</t>
    </rPh>
    <rPh sb="15" eb="17">
      <t>シュトク</t>
    </rPh>
    <phoneticPr fontId="13"/>
  </si>
  <si>
    <t>REレコードの「診療年月」より取得</t>
    <rPh sb="8" eb="10">
      <t>シンリョウ</t>
    </rPh>
    <rPh sb="10" eb="12">
      <t>ネンゲツ</t>
    </rPh>
    <rPh sb="15" eb="17">
      <t>シュトク</t>
    </rPh>
    <phoneticPr fontId="13"/>
  </si>
  <si>
    <t>”RCP”固定</t>
    <rPh sb="5" eb="7">
      <t>コテイ</t>
    </rPh>
    <phoneticPr fontId="13"/>
  </si>
  <si>
    <t>1:医科レセSY　2:DPCレセSY　3:DPCレセSB　4:臓器提供者医科レセSY　5:臓器提供者DPCレセSY</t>
  </si>
  <si>
    <t>REレコードの「レセプト番号」より取得</t>
    <rPh sb="17" eb="19">
      <t>シュトク</t>
    </rPh>
    <phoneticPr fontId="13"/>
  </si>
  <si>
    <t>レセプト番号ごとに通番を付与</t>
    <rPh sb="4" eb="6">
      <t>バンゴウ</t>
    </rPh>
    <rPh sb="9" eb="10">
      <t>ツウ</t>
    </rPh>
    <rPh sb="10" eb="11">
      <t>バン</t>
    </rPh>
    <rPh sb="12" eb="14">
      <t>フヨ</t>
    </rPh>
    <phoneticPr fontId="13"/>
  </si>
  <si>
    <t>REレコードの「カルテ番号等」より取得</t>
    <rPh sb="11" eb="13">
      <t>バンゴウ</t>
    </rPh>
    <rPh sb="13" eb="14">
      <t>トウ</t>
    </rPh>
    <rPh sb="17" eb="19">
      <t>シュトク</t>
    </rPh>
    <phoneticPr fontId="13"/>
  </si>
  <si>
    <t>REレコードの「レセプト総括区分」より取得</t>
    <rPh sb="19" eb="21">
      <t>シュトク</t>
    </rPh>
    <phoneticPr fontId="13"/>
  </si>
  <si>
    <t>YYYYMMDD形式</t>
  </si>
  <si>
    <t>「修飾語コード」を4桁区切りで分割</t>
    <rPh sb="1" eb="4">
      <t>シュウショクゴ</t>
    </rPh>
    <rPh sb="10" eb="11">
      <t>ケタ</t>
    </rPh>
    <rPh sb="11" eb="13">
      <t>クギ</t>
    </rPh>
    <rPh sb="15" eb="17">
      <t>ブンカツ</t>
    </rPh>
    <phoneticPr fontId="13"/>
  </si>
  <si>
    <t>0:入院 1:外来
レセプト種別（レセプト共通レコード）が奇数の場合0、偶数の場合1を設定</t>
    <rPh sb="32" eb="34">
      <t>バアイ</t>
    </rPh>
    <rPh sb="39" eb="41">
      <t>バアイ</t>
    </rPh>
    <rPh sb="43" eb="45">
      <t>セッテイ</t>
    </rPh>
    <phoneticPr fontId="13"/>
  </si>
  <si>
    <t>0:なし 1:あり
修飾語コード1～修飾語コード20のいずれかに8002 or 8008の入力があれば1なければ0を設定</t>
    <rPh sb="58" eb="60">
      <t>セッテイ</t>
    </rPh>
    <phoneticPr fontId="13"/>
  </si>
  <si>
    <t>バックアップ_疾患診療科データ</t>
    <phoneticPr fontId="8"/>
  </si>
  <si>
    <t>親シーケンス番号</t>
    <rPh sb="0" eb="1">
      <t>オヤ</t>
    </rPh>
    <rPh sb="6" eb="8">
      <t>バンゴウ</t>
    </rPh>
    <phoneticPr fontId="13"/>
  </si>
  <si>
    <t>parent_seq_no</t>
  </si>
  <si>
    <t>診療科名</t>
    <rPh sb="0" eb="2">
      <t>シンリョウ</t>
    </rPh>
    <rPh sb="2" eb="3">
      <t>カ</t>
    </rPh>
    <rPh sb="3" eb="4">
      <t>メイ</t>
    </rPh>
    <phoneticPr fontId="23"/>
  </si>
  <si>
    <t>診療科名区分</t>
    <rPh sb="0" eb="2">
      <t>シンリョウ</t>
    </rPh>
    <rPh sb="2" eb="3">
      <t>カ</t>
    </rPh>
    <rPh sb="3" eb="4">
      <t>メイ</t>
    </rPh>
    <rPh sb="4" eb="6">
      <t>クブン</t>
    </rPh>
    <phoneticPr fontId="23"/>
  </si>
  <si>
    <t>対応する疾病情報テーブルのシーケンス番号</t>
    <rPh sb="0" eb="2">
      <t>タイオウ</t>
    </rPh>
    <rPh sb="4" eb="6">
      <t>シッペイ</t>
    </rPh>
    <rPh sb="6" eb="8">
      <t>ジョウホウ</t>
    </rPh>
    <rPh sb="18" eb="20">
      <t>バンゴウ</t>
    </rPh>
    <phoneticPr fontId="13"/>
  </si>
  <si>
    <t>行番号毎に診療科を設定</t>
    <rPh sb="0" eb="3">
      <t>ギョウバンゴウ</t>
    </rPh>
    <rPh sb="3" eb="4">
      <t>マイ</t>
    </rPh>
    <rPh sb="5" eb="7">
      <t>シンリョウ</t>
    </rPh>
    <rPh sb="7" eb="8">
      <t>カ</t>
    </rPh>
    <rPh sb="9" eb="11">
      <t>セッテイ</t>
    </rPh>
    <phoneticPr fontId="13"/>
  </si>
  <si>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3"/>
  </si>
  <si>
    <t>バックアップ_入院退院データ</t>
    <phoneticPr fontId="8"/>
  </si>
  <si>
    <t>入院年月</t>
    <rPh sb="0" eb="2">
      <t>ニュウイン</t>
    </rPh>
    <rPh sb="2" eb="4">
      <t>ネンゲツ</t>
    </rPh>
    <phoneticPr fontId="13"/>
  </si>
  <si>
    <t>nyuin_ym</t>
  </si>
  <si>
    <t>退院年月</t>
    <rPh sb="0" eb="2">
      <t>タイイン</t>
    </rPh>
    <rPh sb="2" eb="4">
      <t>ネンゲツ</t>
    </rPh>
    <phoneticPr fontId="13"/>
  </si>
  <si>
    <t>taiin_ym</t>
  </si>
  <si>
    <t>入院年月日</t>
    <rPh sb="0" eb="2">
      <t>ニュウイン</t>
    </rPh>
    <rPh sb="2" eb="5">
      <t>ネンガッピ</t>
    </rPh>
    <phoneticPr fontId="13"/>
  </si>
  <si>
    <t>退院年月日</t>
    <rPh sb="0" eb="2">
      <t>タイイン</t>
    </rPh>
    <rPh sb="2" eb="5">
      <t>ネンガッピ</t>
    </rPh>
    <phoneticPr fontId="13"/>
  </si>
  <si>
    <t>入院中F</t>
    <rPh sb="0" eb="2">
      <t>ニュウイン</t>
    </rPh>
    <rPh sb="2" eb="3">
      <t>チュウ</t>
    </rPh>
    <phoneticPr fontId="13"/>
  </si>
  <si>
    <t>nyuinchu_flg</t>
  </si>
  <si>
    <t>入院EF及びDファイルよりデータ取得</t>
    <rPh sb="0" eb="2">
      <t>ニュウイン</t>
    </rPh>
    <rPh sb="4" eb="5">
      <t>オヨ</t>
    </rPh>
    <rPh sb="16" eb="18">
      <t>シュトク</t>
    </rPh>
    <phoneticPr fontId="13"/>
  </si>
  <si>
    <t>入院年月日の年月までを取得YYYYMM</t>
    <rPh sb="0" eb="2">
      <t>ニュウイン</t>
    </rPh>
    <rPh sb="2" eb="5">
      <t>ネンガッピ</t>
    </rPh>
    <rPh sb="6" eb="8">
      <t>ネンゲツ</t>
    </rPh>
    <rPh sb="11" eb="13">
      <t>シュトク</t>
    </rPh>
    <phoneticPr fontId="13"/>
  </si>
  <si>
    <t>退院年月日の年月までを取得YYYYMM</t>
    <rPh sb="0" eb="2">
      <t>タイイン</t>
    </rPh>
    <rPh sb="2" eb="5">
      <t>ネンガッピ</t>
    </rPh>
    <rPh sb="6" eb="8">
      <t>ネンゲツ</t>
    </rPh>
    <rPh sb="11" eb="13">
      <t>シュトク</t>
    </rPh>
    <phoneticPr fontId="13"/>
  </si>
  <si>
    <t>入院中の場合は1、退院日が入力されていれば０</t>
    <rPh sb="0" eb="2">
      <t>ニュウイン</t>
    </rPh>
    <rPh sb="2" eb="3">
      <t>チュウ</t>
    </rPh>
    <rPh sb="4" eb="6">
      <t>バアイ</t>
    </rPh>
    <rPh sb="9" eb="11">
      <t>タイイン</t>
    </rPh>
    <rPh sb="11" eb="12">
      <t>ビ</t>
    </rPh>
    <rPh sb="13" eb="15">
      <t>ニュウリョク</t>
    </rPh>
    <phoneticPr fontId="13"/>
  </si>
  <si>
    <t>バックアップ_二次利用DB登録患者データ</t>
    <phoneticPr fontId="8"/>
  </si>
  <si>
    <t>データ種別</t>
    <rPh sb="3" eb="5">
      <t>シュベツ</t>
    </rPh>
    <phoneticPr fontId="17"/>
  </si>
  <si>
    <t>文字列</t>
    <rPh sb="0" eb="3">
      <t>モジレツ</t>
    </rPh>
    <phoneticPr fontId="5"/>
  </si>
  <si>
    <t>患者ID</t>
    <rPh sb="0" eb="2">
      <t>カンジャ</t>
    </rPh>
    <phoneticPr fontId="10"/>
  </si>
  <si>
    <t>patient_id</t>
  </si>
  <si>
    <t>"DPC", "RCP", "MML"の何れかを設定</t>
    <rPh sb="19" eb="20">
      <t>イズ</t>
    </rPh>
    <rPh sb="23" eb="25">
      <t>セッテイ</t>
    </rPh>
    <phoneticPr fontId="13"/>
  </si>
  <si>
    <t>バックアップ_二次利用DB登録患者データ_DPC</t>
    <phoneticPr fontId="8"/>
  </si>
  <si>
    <t>診療年月_最小</t>
    <rPh sb="0" eb="2">
      <t>シンリョウ</t>
    </rPh>
    <rPh sb="2" eb="4">
      <t>ネンゲツ</t>
    </rPh>
    <rPh sb="5" eb="7">
      <t>サイショウ</t>
    </rPh>
    <phoneticPr fontId="28"/>
  </si>
  <si>
    <t>shinryo_ym_min</t>
  </si>
  <si>
    <t>文字列</t>
    <rPh sb="0" eb="3">
      <t>モジレツ</t>
    </rPh>
    <phoneticPr fontId="25"/>
  </si>
  <si>
    <t>診療年月_最大</t>
    <rPh sb="0" eb="2">
      <t>シンリョウ</t>
    </rPh>
    <rPh sb="2" eb="4">
      <t>ネンゲツ</t>
    </rPh>
    <rPh sb="5" eb="7">
      <t>サイダイ</t>
    </rPh>
    <phoneticPr fontId="28"/>
  </si>
  <si>
    <t>shinryo_ym_max</t>
  </si>
  <si>
    <t>男女区分</t>
    <rPh sb="0" eb="2">
      <t>ダンジョ</t>
    </rPh>
    <rPh sb="2" eb="4">
      <t>クブン</t>
    </rPh>
    <phoneticPr fontId="13"/>
  </si>
  <si>
    <t>生年月日</t>
    <rPh sb="0" eb="2">
      <t>セイネン</t>
    </rPh>
    <rPh sb="2" eb="4">
      <t>ガッピ</t>
    </rPh>
    <phoneticPr fontId="13"/>
  </si>
  <si>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3"/>
  </si>
  <si>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3"/>
  </si>
  <si>
    <t>バックアップ_二次利用DB登録患者データ_レセプト</t>
    <phoneticPr fontId="8"/>
  </si>
  <si>
    <t>1.男 2.女 8.Nullまたは空</t>
    <rPh sb="17" eb="18">
      <t>カラ</t>
    </rPh>
    <phoneticPr fontId="13"/>
  </si>
  <si>
    <t>YYYYMM
Nullまたは空の場合、「99999999」を設定する。</t>
    <rPh sb="16" eb="18">
      <t>バアイ</t>
    </rPh>
    <rPh sb="30" eb="32">
      <t>セッテイ</t>
    </rPh>
    <phoneticPr fontId="13"/>
  </si>
  <si>
    <t>バックアップ_二次利用DB登録患者データ_MML</t>
    <phoneticPr fontId="8"/>
  </si>
  <si>
    <t>1.男 2.女 3.その他 8.「4」またはNullまたは空</t>
    <rPh sb="29" eb="30">
      <t>カラ</t>
    </rPh>
    <phoneticPr fontId="13"/>
  </si>
  <si>
    <t>true:死亡，false:生存
Nullまたは空の場合、「unknown」を設定する。</t>
    <rPh sb="5" eb="7">
      <t>シボウ</t>
    </rPh>
    <rPh sb="14" eb="16">
      <t>セイゾン</t>
    </rPh>
    <phoneticPr fontId="2"/>
  </si>
  <si>
    <t>YYYYMMDDHHMM
Nullまたは空の場合、「999999999999」を設定する。</t>
  </si>
  <si>
    <t>バックアップ_二次利用DB登録患者紐付けデータ</t>
    <phoneticPr fontId="8"/>
  </si>
  <si>
    <t>施設ID</t>
    <rPh sb="0" eb="2">
      <t>シセツ</t>
    </rPh>
    <phoneticPr fontId="28"/>
  </si>
  <si>
    <t>紐付けID</t>
    <rPh sb="0" eb="1">
      <t>ヒモ</t>
    </rPh>
    <rPh sb="1" eb="2">
      <t>ヅ</t>
    </rPh>
    <phoneticPr fontId="28"/>
  </si>
  <si>
    <t>himoduke_id</t>
  </si>
  <si>
    <t>紐付けロジックを考慮したユニーク患者ID</t>
    <rPh sb="0" eb="1">
      <t>ヒモ</t>
    </rPh>
    <rPh sb="1" eb="2">
      <t>ヅ</t>
    </rPh>
    <rPh sb="8" eb="10">
      <t>コウリョ</t>
    </rPh>
    <rPh sb="16" eb="18">
      <t>カンジャ</t>
    </rPh>
    <phoneticPr fontId="10"/>
  </si>
  <si>
    <t>整数</t>
    <rPh sb="0" eb="2">
      <t>セイスウ</t>
    </rPh>
    <phoneticPr fontId="13"/>
  </si>
  <si>
    <t>バックアップ_エラー患者データ</t>
    <phoneticPr fontId="8"/>
  </si>
  <si>
    <t>バックアップ_患者基本データ</t>
    <phoneticPr fontId="8"/>
  </si>
  <si>
    <t>データ種別"DPC", "RCP"の場合のみ設定</t>
    <rPh sb="18" eb="20">
      <t>バアイ</t>
    </rPh>
    <rPh sb="22" eb="24">
      <t>セッテイ</t>
    </rPh>
    <phoneticPr fontId="10"/>
  </si>
  <si>
    <t>1.男 2.女 3.その他 9.不明（男女混在の場合）</t>
    <rPh sb="19" eb="21">
      <t>ダンジョ</t>
    </rPh>
    <rPh sb="21" eb="23">
      <t>コンザイ</t>
    </rPh>
    <rPh sb="24" eb="26">
      <t>バアイ</t>
    </rPh>
    <phoneticPr fontId="13"/>
  </si>
  <si>
    <t>YYYYMM
不明時（複数生年月日が混在）は 99999999 とする</t>
    <rPh sb="7" eb="9">
      <t>フメイ</t>
    </rPh>
    <rPh sb="11" eb="13">
      <t>フクスウ</t>
    </rPh>
    <rPh sb="13" eb="15">
      <t>セイネン</t>
    </rPh>
    <rPh sb="15" eb="17">
      <t>ガッピ</t>
    </rPh>
    <rPh sb="18" eb="20">
      <t>コンザイ</t>
    </rPh>
    <phoneticPr fontId="13"/>
  </si>
  <si>
    <t>データ種別"MML"の場合のみ設定
true:死亡，false:生存
Nullまたは空の場合、「unknown」を設定する。</t>
    <rPh sb="23" eb="25">
      <t>シボウ</t>
    </rPh>
    <rPh sb="32" eb="34">
      <t>セイゾン</t>
    </rPh>
    <phoneticPr fontId="2"/>
  </si>
  <si>
    <t>データ種別"MML"の場合のみ設定
YYYYMMDDHHMM
Nullまたは空の場合、「999999999999」を設定する。</t>
  </si>
  <si>
    <t>バックアップ_施設属性マスタ取込用</t>
    <phoneticPr fontId="8"/>
  </si>
  <si>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</si>
  <si>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</si>
  <si>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</si>
  <si>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</si>
  <si>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</si>
  <si>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</si>
  <si>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</si>
  <si>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</si>
  <si>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</si>
  <si>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</si>
  <si>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</si>
  <si>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</si>
  <si>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</si>
  <si>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</si>
  <si>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</si>
  <si>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</si>
  <si>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</si>
  <si>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</si>
  <si>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</si>
  <si>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</si>
  <si>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0"/>
  </si>
  <si>
    <t>mil_exit_f</t>
  </si>
  <si>
    <t>取込基準年月</t>
    <rPh sb="0" eb="2">
      <t>トリコミ</t>
    </rPh>
    <rPh sb="2" eb="4">
      <t>キジュン</t>
    </rPh>
    <rPh sb="4" eb="6">
      <t>ネンゲツ</t>
    </rPh>
    <phoneticPr fontId="10"/>
  </si>
  <si>
    <t>torikomi_kijun_ym</t>
  </si>
  <si>
    <t>データ登録年月日</t>
    <rPh sb="3" eb="5">
      <t>トウロク</t>
    </rPh>
    <rPh sb="5" eb="8">
      <t>ネンガッピ</t>
    </rPh>
    <phoneticPr fontId="8"/>
  </si>
  <si>
    <t>update_ymd</t>
  </si>
  <si>
    <t>施設マスタと同一IDを設定</t>
    <rPh sb="6" eb="8">
      <t>ドウイツ</t>
    </rPh>
    <rPh sb="11" eb="13">
      <t>セッテイ</t>
    </rPh>
    <phoneticPr fontId="13"/>
  </si>
  <si>
    <t>様式３より作成（毎月のデータ受領時に確認）</t>
    <rPh sb="8" eb="10">
      <t>マイツキ</t>
    </rPh>
    <rPh sb="14" eb="16">
      <t>ジュリョウ</t>
    </rPh>
    <rPh sb="16" eb="17">
      <t>ジ</t>
    </rPh>
    <rPh sb="18" eb="20">
      <t>カクニン</t>
    </rPh>
    <phoneticPr fontId="27"/>
  </si>
  <si>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</si>
  <si>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</si>
  <si>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7"/>
  </si>
  <si>
    <t>様式３（毎月のデータ受領時に確認）で
7対1入院基本料の届け出があること</t>
    <rPh sb="28" eb="29">
      <t>トド</t>
    </rPh>
    <rPh sb="30" eb="31">
      <t>デ</t>
    </rPh>
    <phoneticPr fontId="27"/>
  </si>
  <si>
    <t>様式３（毎月のデータ受領時に確認）で
10対1病棟入院基本料の届け出があること</t>
    <rPh sb="31" eb="32">
      <t>トド</t>
    </rPh>
    <rPh sb="33" eb="34">
      <t>デ</t>
    </rPh>
    <phoneticPr fontId="27"/>
  </si>
  <si>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</si>
  <si>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0"/>
  </si>
  <si>
    <t>バックアップ_二次医療圏マスタ取込用</t>
    <phoneticPr fontId="8"/>
  </si>
  <si>
    <t>二次医療圏コード</t>
    <rPh sb="0" eb="2">
      <t>ニジ</t>
    </rPh>
    <rPh sb="2" eb="4">
      <t>イリョウ</t>
    </rPh>
    <rPh sb="4" eb="5">
      <t>ケン</t>
    </rPh>
    <phoneticPr fontId="8"/>
  </si>
  <si>
    <t>iryouken2_cd</t>
  </si>
  <si>
    <t>二次医療圏</t>
    <rPh sb="0" eb="2">
      <t>ニジ</t>
    </rPh>
    <rPh sb="2" eb="4">
      <t>イリョウ</t>
    </rPh>
    <rPh sb="4" eb="5">
      <t>ケン</t>
    </rPh>
    <phoneticPr fontId="8"/>
  </si>
  <si>
    <t>iryouken2</t>
  </si>
  <si>
    <t>都道府県コード</t>
  </si>
  <si>
    <t>prefecture_cd</t>
  </si>
  <si>
    <t>都道府県名</t>
    <rPh sb="0" eb="4">
      <t>トドウフケン</t>
    </rPh>
    <rPh sb="4" eb="5">
      <t>メイ</t>
    </rPh>
    <phoneticPr fontId="8"/>
  </si>
  <si>
    <t>市区町村コード</t>
  </si>
  <si>
    <t>city_code</t>
  </si>
  <si>
    <t>市区町村</t>
  </si>
  <si>
    <t>city</t>
  </si>
  <si>
    <t>削除フラグ</t>
    <rPh sb="0" eb="2">
      <t>サクジョ</t>
    </rPh>
    <phoneticPr fontId="8"/>
  </si>
  <si>
    <t>del_f</t>
  </si>
  <si>
    <t>変更年月日</t>
    <rPh sb="0" eb="2">
      <t>ヘンコウ</t>
    </rPh>
    <rPh sb="2" eb="5">
      <t>ネンガッピ</t>
    </rPh>
    <phoneticPr fontId="8"/>
  </si>
  <si>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</si>
  <si>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</si>
  <si>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</si>
  <si>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</si>
  <si>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</si>
  <si>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8"/>
  </si>
  <si>
    <t>エンティティ一覧</t>
    <phoneticPr fontId="8"/>
  </si>
  <si>
    <t>施行年月日</t>
  </si>
  <si>
    <t>siko_ymd</t>
  </si>
  <si>
    <t>旧医薬品コード</t>
  </si>
  <si>
    <t>old_iyakuhin_cd</t>
  </si>
  <si>
    <t>新医薬品コード</t>
  </si>
  <si>
    <t>new_iyakuhin_cd</t>
  </si>
  <si>
    <t>データ登録年月日</t>
    <rPh sb="3" eb="5">
      <t>トウロク</t>
    </rPh>
    <rPh sb="5" eb="8">
      <t>ネンガッピ</t>
    </rPh>
    <phoneticPr fontId="13"/>
  </si>
  <si>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</si>
  <si>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</si>
  <si>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</si>
  <si>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</si>
  <si>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</si>
  <si>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8"/>
  </si>
  <si>
    <t>変更区分</t>
    <rPh sb="0" eb="2">
      <t>ヘンコウ</t>
    </rPh>
    <rPh sb="2" eb="4">
      <t>クブン</t>
    </rPh>
    <phoneticPr fontId="13"/>
  </si>
  <si>
    <t>henkou_kubun</t>
  </si>
  <si>
    <t>DPCコード2桁</t>
  </si>
  <si>
    <t>dpc2_cd</t>
  </si>
  <si>
    <t>DPCコード6桁</t>
  </si>
  <si>
    <t>dpc6_cd</t>
  </si>
  <si>
    <t>icd10_cd</t>
  </si>
  <si>
    <t>ICD名</t>
    <rPh sb="3" eb="4">
      <t>メイ</t>
    </rPh>
    <phoneticPr fontId="10"/>
  </si>
  <si>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</si>
  <si>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</si>
  <si>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</si>
  <si>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</si>
  <si>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</si>
  <si>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</si>
  <si>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0"/>
  </si>
  <si>
    <t>診断群分類（DPC）電子点数表「４）ＩＣＤ」シートより取得</t>
  </si>
  <si>
    <t>00000000</t>
  </si>
  <si>
    <t>バックアップ_修飾語マスタ取込用</t>
    <phoneticPr fontId="8"/>
  </si>
  <si>
    <t>マスター種別</t>
  </si>
  <si>
    <t>master_type</t>
  </si>
  <si>
    <t>修飾語コード</t>
  </si>
  <si>
    <t>syusyokugo_cd</t>
  </si>
  <si>
    <t>予備1</t>
  </si>
  <si>
    <t>予備2</t>
  </si>
  <si>
    <t>修飾語名称桁数</t>
  </si>
  <si>
    <t>syusyokugo_name_ketasu</t>
  </si>
  <si>
    <t>整数</t>
    <rPh sb="0" eb="2">
      <t>セイスウ</t>
    </rPh>
    <phoneticPr fontId="10"/>
  </si>
  <si>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</si>
  <si>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</si>
  <si>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</si>
  <si>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</si>
  <si>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</si>
  <si>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</si>
  <si>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</si>
  <si>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</si>
  <si>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</si>
  <si>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</si>
  <si>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</si>
  <si>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</si>
  <si>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</si>
  <si>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</si>
  <si>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</si>
  <si>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</si>
  <si>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</si>
  <si>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</si>
  <si>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</si>
  <si>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</si>
  <si>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</si>
  <si>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</si>
  <si>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</si>
  <si>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3"/>
  </si>
  <si>
    <t>1：抹消
3：新規
5：変更
9：廃止</t>
  </si>
  <si>
    <t>Z：固定</t>
  </si>
  <si>
    <t>未使用</t>
  </si>
  <si>
    <t>バックアップ_コメントマスタ取込用</t>
    <phoneticPr fontId="8"/>
  </si>
  <si>
    <t>コメントコード区分</t>
  </si>
  <si>
    <t>comment_cd</t>
  </si>
  <si>
    <t>コメントコードパターン</t>
  </si>
  <si>
    <t>comment_cd_pattern</t>
  </si>
  <si>
    <t>コメントコード一連番号</t>
  </si>
  <si>
    <t>comment_cd_seq</t>
  </si>
  <si>
    <t>文字列</t>
    <rPh sb="0" eb="3">
      <t>モジレツ</t>
    </rPh>
    <phoneticPr fontId="8"/>
  </si>
  <si>
    <t>コメント文漢字有効桁数</t>
  </si>
  <si>
    <t>comment_sentence_kanji_ketasu</t>
  </si>
  <si>
    <t>整数</t>
    <rPh sb="0" eb="2">
      <t>セイスウ</t>
    </rPh>
    <phoneticPr fontId="8"/>
  </si>
  <si>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</si>
  <si>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</si>
  <si>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</si>
  <si>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</si>
  <si>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</si>
  <si>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</si>
  <si>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</si>
  <si>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</si>
  <si>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</si>
  <si>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</si>
  <si>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</si>
  <si>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</si>
  <si>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</si>
  <si>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</si>
  <si>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</si>
  <si>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</si>
  <si>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</si>
  <si>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</si>
  <si>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</si>
  <si>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</si>
  <si>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</si>
  <si>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</si>
  <si>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</si>
  <si>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</si>
  <si>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</si>
  <si>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</si>
  <si>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</si>
  <si>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</si>
  <si>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</si>
  <si>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</si>
  <si>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</si>
  <si>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</si>
  <si>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</si>
  <si>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</si>
  <si>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</si>
  <si>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0"/>
  </si>
  <si>
    <t>バックアップ_成分量マスタ取込用</t>
    <phoneticPr fontId="8"/>
  </si>
  <si>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</si>
  <si>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</si>
  <si>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</si>
  <si>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</si>
  <si>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</si>
  <si>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</si>
  <si>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</si>
  <si>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</si>
  <si>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</si>
  <si>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</si>
  <si>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</si>
  <si>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</si>
  <si>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</si>
  <si>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</si>
  <si>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</si>
  <si>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</si>
  <si>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</si>
  <si>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</si>
  <si>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</si>
  <si>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</si>
  <si>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3"/>
  </si>
  <si>
    <t>0：単味剤
1：配合剤</t>
  </si>
  <si>
    <t>1：追加
2：更新
3：削除</t>
  </si>
  <si>
    <t>データ登録日（YYYYMMDD形式）</t>
    <rPh sb="15" eb="17">
      <t>ケイシキ</t>
    </rPh>
    <phoneticPr fontId="10"/>
  </si>
  <si>
    <t>バックアップ_成分名マスタ取込用</t>
    <phoneticPr fontId="8"/>
  </si>
  <si>
    <t>管理ID</t>
    <rPh sb="0" eb="2">
      <t>カンリ</t>
    </rPh>
    <phoneticPr fontId="13"/>
  </si>
  <si>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</si>
  <si>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</si>
  <si>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</si>
  <si>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</si>
  <si>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</si>
  <si>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</si>
  <si>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</si>
  <si>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</si>
  <si>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</si>
  <si>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</si>
  <si>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</si>
  <si>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</si>
  <si>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</si>
  <si>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</si>
  <si>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</si>
  <si>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</si>
  <si>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</si>
  <si>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0"/>
  </si>
  <si>
    <t>データ登録日（YYYYMMDD形式）</t>
  </si>
  <si>
    <t>バックアップ_単位マスタ取込用</t>
    <phoneticPr fontId="8"/>
  </si>
  <si>
    <t>単位名称</t>
  </si>
  <si>
    <t>unit_name</t>
  </si>
  <si>
    <t>単位換算係数</t>
  </si>
  <si>
    <t>unit_kansan_keisu</t>
  </si>
  <si>
    <t>ｋg、㎡、mL　等</t>
  </si>
  <si>
    <t>基準単位に換算する為の係数</t>
  </si>
  <si>
    <t>バックアップ_適応病名レセ病名組み合わせ関係リンクマスタ取込用</t>
    <phoneticPr fontId="8"/>
  </si>
  <si>
    <t>適用病名組み合わせコード</t>
    <rPh sb="4" eb="5">
      <t>ク</t>
    </rPh>
    <rPh sb="6" eb="7">
      <t>ア</t>
    </rPh>
    <phoneticPr fontId="13"/>
  </si>
  <si>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</si>
  <si>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</si>
  <si>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</si>
  <si>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</si>
  <si>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</si>
  <si>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</si>
  <si>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</si>
  <si>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</si>
  <si>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</si>
  <si>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</si>
  <si>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</si>
  <si>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</si>
  <si>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</si>
  <si>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</si>
  <si>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</si>
  <si>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</si>
  <si>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</si>
  <si>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8"/>
  </si>
  <si>
    <t>バックアップ_適用病名マスタ取込用</t>
    <phoneticPr fontId="8"/>
  </si>
  <si>
    <t>用語コード１</t>
  </si>
  <si>
    <t>yougo_code1</t>
  </si>
  <si>
    <t>用語コード２</t>
  </si>
  <si>
    <t>yougo_code2</t>
  </si>
  <si>
    <t>用語コード３</t>
  </si>
  <si>
    <t>yougo_code3</t>
  </si>
  <si>
    <t>適用病名</t>
    <rPh sb="0" eb="4">
      <t>テキヨウビョウメイ</t>
    </rPh>
    <phoneticPr fontId="13"/>
  </si>
  <si>
    <t>tekiyou_byoumei_name</t>
  </si>
  <si>
    <t>バックアップ_ＹＪコード医薬品コードリンクマスタ取込用</t>
    <phoneticPr fontId="8"/>
  </si>
  <si>
    <t>医薬品コード</t>
    <rPh sb="0" eb="3">
      <t>イヤクヒン</t>
    </rPh>
    <phoneticPr fontId="13"/>
  </si>
  <si>
    <t>医薬品一般名</t>
    <rPh sb="0" eb="3">
      <t>イヤクヒン</t>
    </rPh>
    <rPh sb="3" eb="5">
      <t>イッパン</t>
    </rPh>
    <rPh sb="5" eb="6">
      <t>メイ</t>
    </rPh>
    <phoneticPr fontId="13"/>
  </si>
  <si>
    <t>iyakuhin_ippan_name</t>
  </si>
  <si>
    <t>医薬品名</t>
    <rPh sb="0" eb="4">
      <t>イヤクヒンメイ</t>
    </rPh>
    <phoneticPr fontId="13"/>
  </si>
  <si>
    <t>iyakuhin_name</t>
  </si>
  <si>
    <t>規格内容</t>
    <rPh sb="2" eb="4">
      <t>ナイヨウ</t>
    </rPh>
    <phoneticPr fontId="13"/>
  </si>
  <si>
    <t>kikaku_naiyou</t>
  </si>
  <si>
    <t>個別医薬品コード（通称YJコード）</t>
  </si>
  <si>
    <t>データ無しの場合nullを設定</t>
  </si>
  <si>
    <t>バックアップ_診療行為付加情報マスタ取込用</t>
    <phoneticPr fontId="8"/>
  </si>
  <si>
    <t>更新区分</t>
    <rPh sb="0" eb="2">
      <t>コウシン</t>
    </rPh>
    <rPh sb="2" eb="4">
      <t>クブン</t>
    </rPh>
    <phoneticPr fontId="13"/>
  </si>
  <si>
    <t>診療行為省略漢字有効桁数</t>
  </si>
  <si>
    <t>shinryo_koi_kanji_name_ketasu</t>
  </si>
  <si>
    <t>診療行為省略漢字名称</t>
    <rPh sb="8" eb="10">
      <t>メイショウ</t>
    </rPh>
    <phoneticPr fontId="13"/>
  </si>
  <si>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</si>
  <si>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</si>
  <si>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</si>
  <si>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</si>
  <si>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</si>
  <si>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</si>
  <si>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</si>
  <si>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</si>
  <si>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</si>
  <si>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</si>
  <si>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</si>
  <si>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</si>
  <si>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</si>
  <si>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</si>
  <si>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</si>
  <si>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</si>
  <si>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</si>
  <si>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</si>
  <si>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</si>
  <si>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</si>
  <si>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</si>
  <si>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</si>
  <si>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</si>
  <si>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</si>
  <si>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</si>
  <si>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</si>
  <si>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</si>
  <si>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</si>
  <si>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</si>
  <si>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</si>
  <si>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</si>
  <si>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</si>
  <si>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</si>
  <si>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</si>
  <si>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</si>
  <si>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</si>
  <si>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</si>
  <si>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</si>
  <si>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</si>
  <si>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</si>
  <si>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</si>
  <si>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</si>
  <si>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</si>
  <si>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</si>
  <si>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</si>
  <si>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</si>
  <si>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</si>
  <si>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</si>
  <si>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</si>
  <si>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</si>
  <si>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</si>
  <si>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</si>
  <si>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</si>
  <si>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</si>
  <si>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</si>
  <si>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</si>
  <si>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</si>
  <si>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</si>
  <si>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</si>
  <si>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</si>
  <si>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</si>
  <si>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</si>
  <si>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</si>
  <si>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</si>
  <si>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</si>
  <si>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</si>
  <si>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</si>
  <si>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</si>
  <si>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</si>
  <si>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</si>
  <si>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</si>
  <si>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</si>
  <si>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</si>
  <si>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</si>
  <si>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</si>
  <si>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</si>
  <si>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</si>
  <si>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</si>
  <si>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</si>
  <si>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</si>
  <si>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</si>
  <si>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</si>
  <si>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</si>
  <si>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</si>
  <si>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</si>
  <si>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</si>
  <si>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</si>
  <si>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</si>
  <si>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</si>
  <si>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</si>
  <si>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</si>
  <si>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</si>
  <si>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</si>
  <si>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</si>
  <si>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</si>
  <si>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</si>
  <si>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</si>
  <si>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</si>
  <si>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</si>
  <si>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</si>
  <si>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</si>
  <si>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</si>
  <si>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</si>
  <si>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</si>
  <si>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</si>
  <si>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</si>
  <si>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</si>
  <si>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</si>
  <si>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</si>
  <si>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</si>
  <si>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</si>
  <si>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</si>
  <si>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</si>
  <si>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</si>
  <si>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</si>
  <si>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</si>
  <si>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</si>
  <si>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</si>
  <si>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</si>
  <si>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</si>
  <si>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</si>
  <si>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</si>
  <si>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</si>
  <si>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</si>
  <si>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</si>
  <si>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</si>
  <si>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</si>
  <si>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</si>
  <si>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</si>
  <si>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</si>
  <si>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</si>
  <si>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</si>
  <si>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</si>
  <si>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</si>
  <si>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</si>
  <si>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</si>
  <si>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</si>
  <si>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</si>
  <si>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</si>
  <si>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</si>
  <si>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</si>
  <si>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</si>
  <si>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</si>
  <si>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</si>
  <si>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</si>
  <si>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</si>
  <si>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</si>
  <si>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</si>
  <si>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</si>
  <si>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</si>
  <si>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</si>
  <si>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</si>
  <si>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</si>
  <si>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</si>
  <si>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</si>
  <si>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</si>
  <si>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</si>
  <si>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</si>
  <si>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</si>
  <si>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</si>
  <si>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</si>
  <si>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</si>
  <si>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</si>
  <si>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</si>
  <si>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</si>
  <si>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</si>
  <si>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</si>
  <si>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</si>
  <si>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</si>
  <si>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</si>
  <si>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</si>
  <si>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</si>
  <si>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</si>
  <si>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</si>
  <si>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</si>
  <si>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</si>
  <si>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</si>
  <si>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</si>
  <si>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</si>
  <si>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</si>
  <si>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</si>
  <si>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</si>
  <si>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</si>
  <si>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</si>
  <si>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</si>
  <si>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</si>
  <si>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</si>
  <si>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</si>
  <si>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</si>
  <si>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</si>
  <si>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</si>
  <si>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</si>
  <si>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</si>
  <si>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</si>
  <si>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</si>
  <si>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</si>
  <si>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</si>
  <si>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</si>
  <si>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</si>
  <si>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</si>
  <si>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</si>
  <si>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</si>
  <si>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</si>
  <si>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</si>
  <si>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</si>
  <si>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</si>
  <si>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</si>
  <si>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</si>
  <si>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</si>
  <si>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</si>
  <si>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</si>
  <si>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</si>
  <si>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</si>
  <si>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</si>
  <si>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</si>
  <si>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</si>
  <si>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</si>
  <si>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</si>
  <si>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</si>
  <si>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</si>
  <si>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</si>
  <si>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</si>
  <si>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</si>
  <si>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</si>
  <si>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</si>
  <si>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</si>
  <si>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</si>
  <si>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</si>
  <si>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</si>
  <si>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</si>
  <si>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</si>
  <si>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</si>
  <si>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</si>
  <si>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</si>
  <si>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</si>
  <si>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</si>
  <si>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</si>
  <si>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</si>
  <si>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</si>
  <si>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</si>
  <si>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</si>
  <si>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</si>
  <si>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</si>
  <si>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</si>
  <si>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</si>
  <si>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</si>
  <si>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</si>
  <si>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</si>
  <si>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</si>
  <si>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</si>
  <si>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</si>
  <si>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</si>
  <si>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</si>
  <si>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</si>
  <si>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</si>
  <si>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</si>
  <si>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</si>
  <si>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</si>
  <si>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</si>
  <si>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</si>
  <si>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</si>
  <si>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</si>
  <si>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</si>
  <si>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</si>
  <si>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</si>
  <si>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</si>
  <si>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</si>
  <si>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</si>
  <si>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</si>
  <si>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</si>
  <si>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</si>
  <si>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</si>
  <si>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3"/>
  </si>
  <si>
    <t>YYYYMMDD　省略時:99999999</t>
    <rPh sb="9" eb="11">
      <t>ショウリャク</t>
    </rPh>
    <rPh sb="11" eb="12">
      <t>ジ</t>
    </rPh>
    <phoneticPr fontId="13"/>
  </si>
  <si>
    <t>コード表用番号（アルファベット部）＋「-」＋コード表用番号_区分番号＋「-」＋コード表用番号_枝番を結合したものを設定</t>
  </si>
  <si>
    <t>データ登録日</t>
  </si>
  <si>
    <t>バックアップ_処理対象施設マスタ</t>
    <phoneticPr fontId="8"/>
  </si>
  <si>
    <t>施設ID</t>
    <rPh sb="0" eb="2">
      <t>シセツ</t>
    </rPh>
    <phoneticPr fontId="17"/>
  </si>
  <si>
    <t>施設ID（MML）</t>
  </si>
  <si>
    <t>facility_id_mml</t>
  </si>
  <si>
    <t>施設名</t>
    <rPh sb="0" eb="2">
      <t>シセツ</t>
    </rPh>
    <phoneticPr fontId="23"/>
  </si>
  <si>
    <t>facility_name</t>
  </si>
  <si>
    <t>オプトアウト通知開始年月日</t>
    <rPh sb="6" eb="8">
      <t>ツウチ</t>
    </rPh>
    <rPh sb="8" eb="10">
      <t>カイシ</t>
    </rPh>
    <rPh sb="10" eb="13">
      <t>ネンガッピ</t>
    </rPh>
    <phoneticPr fontId="13"/>
  </si>
  <si>
    <t>opt_out_ymd</t>
  </si>
  <si>
    <t>紐付けID編集区分</t>
    <rPh sb="0" eb="1">
      <t>ヒモ</t>
    </rPh>
    <rPh sb="1" eb="2">
      <t>ヅ</t>
    </rPh>
    <rPh sb="5" eb="7">
      <t>ヘンシュウ</t>
    </rPh>
    <rPh sb="7" eb="9">
      <t>クブン</t>
    </rPh>
    <phoneticPr fontId="13"/>
  </si>
  <si>
    <t>group_id_edit_kubun</t>
  </si>
  <si>
    <t>施設データ提供開始日</t>
    <rPh sb="0" eb="2">
      <t>シセツ</t>
    </rPh>
    <rPh sb="5" eb="7">
      <t>テイキョウ</t>
    </rPh>
    <rPh sb="7" eb="10">
      <t>カイシビ</t>
    </rPh>
    <phoneticPr fontId="10"/>
  </si>
  <si>
    <t>facility_contract_start</t>
  </si>
  <si>
    <t>施設データ提供終了日</t>
    <rPh sb="0" eb="2">
      <t>シセツ</t>
    </rPh>
    <rPh sb="5" eb="7">
      <t>テイキョウ</t>
    </rPh>
    <rPh sb="7" eb="10">
      <t>シュウリョウビ</t>
    </rPh>
    <phoneticPr fontId="10"/>
  </si>
  <si>
    <t>facility_contract_end</t>
  </si>
  <si>
    <t>施設規模</t>
    <rPh sb="2" eb="4">
      <t>キボ</t>
    </rPh>
    <phoneticPr fontId="13"/>
  </si>
  <si>
    <t>size</t>
  </si>
  <si>
    <t>データ取得対象フラグ</t>
    <rPh sb="3" eb="5">
      <t>シュトク</t>
    </rPh>
    <phoneticPr fontId="10"/>
  </si>
  <si>
    <t>shori_f</t>
  </si>
  <si>
    <t>フラグ</t>
  </si>
  <si>
    <t>フィジビリティ対象フラグ</t>
    <rPh sb="7" eb="9">
      <t>タイショウ</t>
    </rPh>
    <phoneticPr fontId="13"/>
  </si>
  <si>
    <t>feasibility_f</t>
  </si>
  <si>
    <t>施設OID</t>
    <rPh sb="0" eb="2">
      <t>シセツ</t>
    </rPh>
    <phoneticPr fontId="6"/>
  </si>
  <si>
    <t>YYYYMMDD
※DDは01固定（毎月1日）</t>
    <rPh sb="15" eb="17">
      <t>コテイ</t>
    </rPh>
    <rPh sb="18" eb="20">
      <t>マイツキ</t>
    </rPh>
    <rPh sb="21" eb="22">
      <t>ヒ</t>
    </rPh>
    <phoneticPr fontId="13"/>
  </si>
  <si>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</si>
  <si>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</si>
  <si>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</si>
  <si>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</si>
  <si>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</si>
  <si>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0"/>
  </si>
  <si>
    <t>バックアップ_処理対象施設マスタ管理</t>
    <phoneticPr fontId="8"/>
  </si>
  <si>
    <t>バックアップ_年度マスタ</t>
    <phoneticPr fontId="8"/>
  </si>
  <si>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</si>
  <si>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</si>
  <si>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</si>
  <si>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</si>
  <si>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</si>
  <si>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</si>
  <si>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</si>
  <si>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</si>
  <si>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</si>
  <si>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</si>
  <si>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</si>
  <si>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</si>
  <si>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</si>
  <si>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</si>
  <si>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</si>
  <si>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</si>
  <si>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</si>
  <si>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</si>
  <si>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</si>
  <si>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</si>
  <si>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</si>
  <si>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</si>
  <si>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</si>
  <si>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8"/>
  </si>
  <si>
    <t>都道府県コード</t>
    <rPh sb="0" eb="4">
      <t>トドウフケン</t>
    </rPh>
    <phoneticPr fontId="27"/>
  </si>
  <si>
    <t>都道府県名</t>
  </si>
  <si>
    <t>地方コード</t>
    <rPh sb="0" eb="2">
      <t>チホウ</t>
    </rPh>
    <phoneticPr fontId="27"/>
  </si>
  <si>
    <t>region_cd</t>
  </si>
  <si>
    <t>地方名</t>
    <rPh sb="0" eb="2">
      <t>チホウ</t>
    </rPh>
    <phoneticPr fontId="10"/>
  </si>
  <si>
    <t>region</t>
  </si>
  <si>
    <t>■各項目補足説明</t>
    <rPh sb="1" eb="4">
      <t>カクコウモク</t>
    </rPh>
    <rPh sb="4" eb="6">
      <t>ホソク</t>
    </rPh>
    <rPh sb="6" eb="8">
      <t>セツメイ</t>
    </rPh>
    <phoneticPr fontId="31"/>
  </si>
  <si>
    <t>各項目の設定値は以下の通り。</t>
    <rPh sb="0" eb="3">
      <t>カクコウモク</t>
    </rPh>
    <rPh sb="4" eb="7">
      <t>セッテイチ</t>
    </rPh>
    <rPh sb="8" eb="10">
      <t>イカ</t>
    </rPh>
    <rPh sb="11" eb="12">
      <t>トオ</t>
    </rPh>
    <phoneticPr fontId="31"/>
  </si>
  <si>
    <t>地方コード</t>
    <rPh sb="0" eb="2">
      <t>チホウ</t>
    </rPh>
    <phoneticPr fontId="31"/>
  </si>
  <si>
    <t>地方名</t>
    <rPh sb="0" eb="2">
      <t>チホウ</t>
    </rPh>
    <rPh sb="2" eb="3">
      <t>メイ</t>
    </rPh>
    <phoneticPr fontId="31"/>
  </si>
  <si>
    <t>都道府県コード:都道府県名</t>
    <rPh sb="0" eb="4">
      <t>トドウフケン</t>
    </rPh>
    <rPh sb="8" eb="12">
      <t>トドウフケン</t>
    </rPh>
    <rPh sb="12" eb="13">
      <t>メイ</t>
    </rPh>
    <phoneticPr fontId="31"/>
  </si>
  <si>
    <t>01</t>
    <phoneticPr fontId="31"/>
  </si>
  <si>
    <t>北海道</t>
    <rPh sb="0" eb="3">
      <t>ホッカイドウ</t>
    </rPh>
    <phoneticPr fontId="31"/>
  </si>
  <si>
    <t>01：北海道</t>
    <phoneticPr fontId="31"/>
  </si>
  <si>
    <t>02</t>
    <phoneticPr fontId="31"/>
  </si>
  <si>
    <t>東北</t>
    <phoneticPr fontId="31"/>
  </si>
  <si>
    <t>02：青森県　03：岩手県　04：宮城県　05：秋田県　06：山形県　07：福島県</t>
    <phoneticPr fontId="31"/>
  </si>
  <si>
    <t>03</t>
    <phoneticPr fontId="31"/>
  </si>
  <si>
    <t>関東</t>
    <phoneticPr fontId="31"/>
  </si>
  <si>
    <t>08：茨城県　09：栃木県　10：群馬県　11：埼玉県　12：千葉県　13：東京都　14：神奈川県</t>
    <phoneticPr fontId="31"/>
  </si>
  <si>
    <t>04</t>
    <phoneticPr fontId="31"/>
  </si>
  <si>
    <t>中部</t>
    <phoneticPr fontId="31"/>
  </si>
  <si>
    <t>15：新潟県　16：富山県　17：石川県　18：福井県　19：山梨県　20：長野県　21：岐阜県　22：静岡県　23：愛知県　</t>
    <phoneticPr fontId="31"/>
  </si>
  <si>
    <t>05</t>
    <phoneticPr fontId="31"/>
  </si>
  <si>
    <t>近畿</t>
    <phoneticPr fontId="31"/>
  </si>
  <si>
    <t>24：三重県　25：滋賀県　26：京都府　27：大阪府　28：兵庫県　29：奈良県　30：和歌山県</t>
    <phoneticPr fontId="31"/>
  </si>
  <si>
    <t>06</t>
    <phoneticPr fontId="31"/>
  </si>
  <si>
    <t>中国</t>
    <phoneticPr fontId="31"/>
  </si>
  <si>
    <t>31：鳥取県　32：島根県　33：岡山県　34：広島県　35：山口県</t>
    <phoneticPr fontId="31"/>
  </si>
  <si>
    <t>07</t>
    <phoneticPr fontId="31"/>
  </si>
  <si>
    <t>四国</t>
    <phoneticPr fontId="31"/>
  </si>
  <si>
    <t>36：徳島県　37：香川県　38：愛媛県　39：高知県</t>
    <phoneticPr fontId="31"/>
  </si>
  <si>
    <t>08</t>
    <phoneticPr fontId="31"/>
  </si>
  <si>
    <t>九州</t>
    <phoneticPr fontId="31"/>
  </si>
  <si>
    <t>40：福岡県　41：佐賀県　42：長崎県　43：熊本県　44：大分県　45：宮崎県　46：鹿児島県　47：沖縄県</t>
    <phoneticPr fontId="31"/>
  </si>
  <si>
    <t>バックアップ_施設属性マスタ</t>
    <phoneticPr fontId="8"/>
  </si>
  <si>
    <t>基準年月</t>
    <rPh sb="0" eb="2">
      <t>キジュン</t>
    </rPh>
    <rPh sb="2" eb="4">
      <t>ネンゲツ</t>
    </rPh>
    <phoneticPr fontId="10"/>
  </si>
  <si>
    <t>kijun_ym</t>
  </si>
  <si>
    <t>施設名</t>
  </si>
  <si>
    <t>通知開始年月日</t>
    <rPh sb="6" eb="7">
      <t>ヒ</t>
    </rPh>
    <phoneticPr fontId="10"/>
  </si>
  <si>
    <t>都道府県名</t>
    <rPh sb="4" eb="5">
      <t>メイ</t>
    </rPh>
    <phoneticPr fontId="10"/>
  </si>
  <si>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</si>
  <si>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</si>
  <si>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</si>
  <si>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</si>
  <si>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</si>
  <si>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</si>
  <si>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</si>
  <si>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</si>
  <si>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</si>
  <si>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</si>
  <si>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</si>
  <si>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0"/>
  </si>
  <si>
    <t>new_f</t>
  </si>
  <si>
    <t>削除フラグ</t>
    <rPh sb="0" eb="2">
      <t>サクジョ</t>
    </rPh>
    <phoneticPr fontId="10"/>
  </si>
  <si>
    <t>施設マスタデータ登録日</t>
    <rPh sb="0" eb="2">
      <t>シセツ</t>
    </rPh>
    <rPh sb="8" eb="10">
      <t>トウロク</t>
    </rPh>
    <rPh sb="10" eb="11">
      <t>ビ</t>
    </rPh>
    <phoneticPr fontId="10"/>
  </si>
  <si>
    <t>shisetsu_update_ymd</t>
  </si>
  <si>
    <t>施設属性マスタ取込用データ登録日</t>
    <rPh sb="0" eb="2">
      <t>シセツ</t>
    </rPh>
    <rPh sb="2" eb="4">
      <t>ゾクセイ</t>
    </rPh>
    <rPh sb="7" eb="9">
      <t>トリコミ</t>
    </rPh>
    <rPh sb="9" eb="10">
      <t>ヨウ</t>
    </rPh>
    <rPh sb="13" eb="15">
      <t>トウロク</t>
    </rPh>
    <rPh sb="15" eb="16">
      <t>ビ</t>
    </rPh>
    <phoneticPr fontId="10"/>
  </si>
  <si>
    <t>zokusei_update_ymd</t>
  </si>
  <si>
    <t>施設属性マスタ取込用取込基準年月</t>
    <rPh sb="10" eb="12">
      <t>トリコミ</t>
    </rPh>
    <rPh sb="12" eb="14">
      <t>キジュン</t>
    </rPh>
    <rPh sb="14" eb="16">
      <t>ネンゲツ</t>
    </rPh>
    <phoneticPr fontId="10"/>
  </si>
  <si>
    <t>zokusei_torikomi_kijun_ym</t>
  </si>
  <si>
    <t>メンテナンスフラグ</t>
  </si>
  <si>
    <t>mainte_f</t>
  </si>
  <si>
    <t>施設属性マスタ取込用より取得</t>
    <rPh sb="2" eb="4">
      <t>ゾクセイ</t>
    </rPh>
    <rPh sb="7" eb="9">
      <t>トリコミ</t>
    </rPh>
    <rPh sb="9" eb="10">
      <t>ヨウ</t>
    </rPh>
    <phoneticPr fontId="10"/>
  </si>
  <si>
    <t>取得結果の基準となる年月
YYYYMM形式</t>
    <rPh sb="0" eb="2">
      <t>シュトク</t>
    </rPh>
    <rPh sb="2" eb="4">
      <t>ケッカ</t>
    </rPh>
    <rPh sb="5" eb="7">
      <t>キジュン</t>
    </rPh>
    <rPh sb="10" eb="12">
      <t>ネンゲツ</t>
    </rPh>
    <phoneticPr fontId="13"/>
  </si>
  <si>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</si>
  <si>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</si>
  <si>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</si>
  <si>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7"/>
  </si>
  <si>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7"/>
  </si>
  <si>
    <t>施設属性マスタ上の施設ID単位で最新であるか</t>
    <rPh sb="0" eb="2">
      <t>シセツ</t>
    </rPh>
    <rPh sb="2" eb="4">
      <t>ゾクセイ</t>
    </rPh>
    <rPh sb="7" eb="8">
      <t>ジョウ</t>
    </rPh>
    <rPh sb="9" eb="11">
      <t>シセツ</t>
    </rPh>
    <rPh sb="13" eb="15">
      <t>タンイ</t>
    </rPh>
    <rPh sb="16" eb="18">
      <t>サイシン</t>
    </rPh>
    <phoneticPr fontId="10"/>
  </si>
  <si>
    <t>施設マスタ上の施設ID単位で削除済みであるか</t>
    <rPh sb="0" eb="2">
      <t>シセツ</t>
    </rPh>
    <rPh sb="5" eb="6">
      <t>ジョウ</t>
    </rPh>
    <rPh sb="7" eb="9">
      <t>シセツ</t>
    </rPh>
    <rPh sb="11" eb="13">
      <t>タンイ</t>
    </rPh>
    <rPh sb="14" eb="16">
      <t>サクジョ</t>
    </rPh>
    <rPh sb="16" eb="17">
      <t>ズ</t>
    </rPh>
    <phoneticPr fontId="10"/>
  </si>
  <si>
    <t>施設マスタ上の削除年月日
YYYYMMDD形式</t>
  </si>
  <si>
    <t>基準年月に対する直近の施設マスタ上のデータ登録日
YYYYMMDD形式</t>
    <rPh sb="21" eb="23">
      <t>トウロク</t>
    </rPh>
    <phoneticPr fontId="13"/>
  </si>
  <si>
    <t>施設属性マスタ取込用取込基準年月に対するデータ登録日
YYYYMMDD形式</t>
    <rPh sb="17" eb="18">
      <t>タイ</t>
    </rPh>
    <rPh sb="23" eb="25">
      <t>トウロク</t>
    </rPh>
    <phoneticPr fontId="13"/>
  </si>
  <si>
    <t>基準年月に対する直近の施設属性マスタ取込用上の取込基準年月
YYYYMM形式</t>
    <rPh sb="0" eb="2">
      <t>キジュン</t>
    </rPh>
    <rPh sb="2" eb="4">
      <t>ネンゲツ</t>
    </rPh>
    <rPh sb="5" eb="6">
      <t>タイ</t>
    </rPh>
    <phoneticPr fontId="13"/>
  </si>
  <si>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3"/>
  </si>
  <si>
    <t>都道府県地方コード表マスタより取得</t>
    <rPh sb="4" eb="6">
      <t>チホウ</t>
    </rPh>
    <rPh sb="15" eb="17">
      <t>シュトク</t>
    </rPh>
    <phoneticPr fontId="13"/>
  </si>
  <si>
    <t>バックアップ_二次医療圏マスタ</t>
    <phoneticPr fontId="8"/>
  </si>
  <si>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</si>
  <si>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</si>
  <si>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</si>
  <si>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</si>
  <si>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8"/>
  </si>
  <si>
    <t>旧施設ID</t>
  </si>
  <si>
    <t>old_facility_id</t>
  </si>
  <si>
    <t>新施設ID</t>
  </si>
  <si>
    <t>new_facility_id</t>
  </si>
  <si>
    <t>適用開始日</t>
    <rPh sb="0" eb="2">
      <t>テキヨウ</t>
    </rPh>
    <rPh sb="2" eb="4">
      <t>カイシ</t>
    </rPh>
    <phoneticPr fontId="10"/>
  </si>
  <si>
    <t>sgioy_202310_backup_mt_tekiyou_recept_combi_link_oyako</t>
    <phoneticPr fontId="8"/>
  </si>
  <si>
    <t>適応病名レセ病名組み合わせ関係リンク親子マスタ取込用テーブルから組入れ条件の第一条件で絞り込んだ結果を格納するバックアップテーブル</t>
    <phoneticPr fontId="8"/>
  </si>
  <si>
    <t>バックアップ_医薬品関連マスタ</t>
    <phoneticPr fontId="8"/>
  </si>
  <si>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</si>
  <si>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</si>
  <si>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</si>
  <si>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</si>
  <si>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</si>
  <si>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</si>
  <si>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</si>
  <si>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</si>
  <si>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</si>
  <si>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</si>
  <si>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</si>
  <si>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</si>
  <si>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</si>
  <si>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</si>
  <si>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</si>
  <si>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</si>
  <si>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</si>
  <si>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</si>
  <si>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</si>
  <si>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</si>
  <si>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</si>
  <si>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</si>
  <si>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</si>
  <si>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</si>
  <si>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</si>
  <si>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</si>
  <si>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</si>
  <si>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</si>
  <si>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</si>
  <si>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</si>
  <si>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</si>
  <si>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</si>
  <si>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</si>
  <si>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</si>
  <si>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</si>
  <si>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</si>
  <si>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</si>
  <si>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</si>
  <si>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</si>
  <si>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</si>
  <si>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3"/>
  </si>
  <si>
    <t>医薬品マスタより取得</t>
  </si>
  <si>
    <t>医薬品ブランドマスタより取得</t>
  </si>
  <si>
    <t>医薬品一般名マスタより取得</t>
    <rPh sb="3" eb="5">
      <t>イッパン</t>
    </rPh>
    <rPh sb="5" eb="6">
      <t>メイ</t>
    </rPh>
    <phoneticPr fontId="13"/>
  </si>
  <si>
    <t>医薬品一般名マスタより取得</t>
    <rPh sb="3" eb="5">
      <t>イッパン</t>
    </rPh>
    <rPh sb="5" eb="6">
      <t>メイ</t>
    </rPh>
    <rPh sb="11" eb="13">
      <t>シュトク</t>
    </rPh>
    <phoneticPr fontId="13"/>
  </si>
  <si>
    <t>薬効ATC分類1マスタより取得</t>
    <rPh sb="13" eb="15">
      <t>シュトク</t>
    </rPh>
    <phoneticPr fontId="13"/>
  </si>
  <si>
    <t>薬効ATC分類2マスタより取得</t>
    <rPh sb="13" eb="15">
      <t>シュトク</t>
    </rPh>
    <phoneticPr fontId="13"/>
  </si>
  <si>
    <t>薬効ATC分類3マスタより取得</t>
    <rPh sb="13" eb="15">
      <t>シュトク</t>
    </rPh>
    <phoneticPr fontId="13"/>
  </si>
  <si>
    <t>薬効ATC分類4マスタより取得</t>
    <rPh sb="13" eb="15">
      <t>シュトク</t>
    </rPh>
    <phoneticPr fontId="13"/>
  </si>
  <si>
    <t>薬効ATC分類5マスタより取得</t>
    <rPh sb="13" eb="15">
      <t>シュトク</t>
    </rPh>
    <phoneticPr fontId="13"/>
  </si>
  <si>
    <t>メーカマスタより取得</t>
  </si>
  <si>
    <t>医薬品マスタより取得
YYYYMMDD形式（施行日/薬価収載年月日）</t>
    <rPh sb="22" eb="25">
      <t>シコウビ</t>
    </rPh>
    <rPh sb="26" eb="28">
      <t>ヤッカ</t>
    </rPh>
    <rPh sb="28" eb="30">
      <t>シュウサイ</t>
    </rPh>
    <rPh sb="30" eb="33">
      <t>ネンガッピ</t>
    </rPh>
    <phoneticPr fontId="13"/>
  </si>
  <si>
    <t>医薬品マスタより取得
更新区分＝３削除があるデータに1</t>
    <rPh sb="11" eb="13">
      <t>コウシン</t>
    </rPh>
    <rPh sb="13" eb="15">
      <t>クブン</t>
    </rPh>
    <rPh sb="17" eb="19">
      <t>サクジョ</t>
    </rPh>
    <phoneticPr fontId="13"/>
  </si>
  <si>
    <t>医薬品マスタより取得
YYYYMMDD形式（施行日/薬価収載年月日）</t>
  </si>
  <si>
    <t>医薬品マスタより取得
YYYYMMDD形式（施行日/薬価収載年月日）</t>
    <rPh sb="0" eb="3">
      <t>イヤクヒン</t>
    </rPh>
    <rPh sb="8" eb="10">
      <t>シュトク</t>
    </rPh>
    <phoneticPr fontId="13"/>
  </si>
  <si>
    <t>バックアップ_薬価関連マスタ</t>
    <phoneticPr fontId="8"/>
  </si>
  <si>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</si>
  <si>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</si>
  <si>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</si>
  <si>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</si>
  <si>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</si>
  <si>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</si>
  <si>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8"/>
  </si>
  <si>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</si>
  <si>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</si>
  <si>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</si>
  <si>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</si>
  <si>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</si>
  <si>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</si>
  <si>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</si>
  <si>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</si>
  <si>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</si>
  <si>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</si>
  <si>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</si>
  <si>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</si>
  <si>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0"/>
  </si>
  <si>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</si>
  <si>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</si>
  <si>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</si>
  <si>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3"/>
  </si>
  <si>
    <t>診療行為付加情報マスタ取込用より取得、更新区分3：削除があるデータに1</t>
    <rPh sb="19" eb="21">
      <t>コウシン</t>
    </rPh>
    <rPh sb="21" eb="23">
      <t>クブン</t>
    </rPh>
    <rPh sb="25" eb="27">
      <t>サクジョ</t>
    </rPh>
    <phoneticPr fontId="13"/>
  </si>
  <si>
    <t>診療行為付加情報マスタ取込用より取得
YYYYMMDD形式</t>
    <rPh sb="16" eb="18">
      <t>シュトク</t>
    </rPh>
    <phoneticPr fontId="13"/>
  </si>
  <si>
    <t>バックアップ_特定器材関連マスタ</t>
    <phoneticPr fontId="8"/>
  </si>
  <si>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</si>
  <si>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</si>
  <si>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</si>
  <si>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</si>
  <si>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</si>
  <si>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</si>
  <si>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</si>
  <si>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</si>
  <si>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3"/>
  </si>
  <si>
    <t>データ変更年月日
YYYYMMDD形式</t>
    <rPh sb="3" eb="5">
      <t>ヘンコウ</t>
    </rPh>
    <rPh sb="5" eb="8">
      <t>ネンガッピ</t>
    </rPh>
    <phoneticPr fontId="13"/>
  </si>
  <si>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3"/>
  </si>
  <si>
    <t>バックアップ_DPC関連マスタ</t>
    <phoneticPr fontId="8"/>
  </si>
  <si>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</si>
  <si>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</si>
  <si>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</si>
  <si>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</si>
  <si>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</si>
  <si>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</si>
  <si>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</si>
  <si>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</si>
  <si>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8"/>
  </si>
  <si>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</si>
  <si>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</si>
  <si>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</si>
  <si>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</si>
  <si>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</si>
  <si>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</si>
  <si>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</si>
  <si>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</si>
  <si>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</si>
  <si>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</si>
  <si>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</si>
  <si>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</si>
  <si>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</si>
  <si>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</si>
  <si>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</si>
  <si>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</si>
  <si>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3"/>
  </si>
  <si>
    <t>icd10_kubun</t>
  </si>
  <si>
    <t>施行年月日</t>
    <rPh sb="0" eb="2">
      <t>シコウ</t>
    </rPh>
    <rPh sb="2" eb="5">
      <t>ネンガッピ</t>
    </rPh>
    <phoneticPr fontId="13"/>
  </si>
  <si>
    <t>変更年月日</t>
    <rPh sb="0" eb="2">
      <t>ヘンコウ</t>
    </rPh>
    <rPh sb="2" eb="5">
      <t>ネンガッピ</t>
    </rPh>
    <phoneticPr fontId="13"/>
  </si>
  <si>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</si>
  <si>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</si>
  <si>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</si>
  <si>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</si>
  <si>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</si>
  <si>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</si>
  <si>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</si>
  <si>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0"/>
  </si>
  <si>
    <t>バックアップ_医薬品成分関連マスタ</t>
    <phoneticPr fontId="8"/>
  </si>
  <si>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</si>
  <si>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</si>
  <si>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</si>
  <si>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</si>
  <si>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</si>
  <si>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</si>
  <si>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</si>
  <si>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</si>
  <si>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</si>
  <si>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3"/>
  </si>
  <si>
    <t>ＹＪコード医薬品コードリンクマスタ取込用より取得</t>
    <rPh sb="5" eb="8">
      <t>イヤクヒン</t>
    </rPh>
    <rPh sb="17" eb="19">
      <t>トリコミ</t>
    </rPh>
    <rPh sb="19" eb="20">
      <t>ヨウ</t>
    </rPh>
    <rPh sb="22" eb="24">
      <t>シュトク</t>
    </rPh>
    <phoneticPr fontId="13"/>
  </si>
  <si>
    <t>成分量マスタ取込用より取得
0：単味剤
1：配合剤</t>
    <rPh sb="11" eb="13">
      <t>シュトク</t>
    </rPh>
    <phoneticPr fontId="13"/>
  </si>
  <si>
    <t>成分量マスタ取込用より取得</t>
    <rPh sb="11" eb="13">
      <t>シュトク</t>
    </rPh>
    <phoneticPr fontId="13"/>
  </si>
  <si>
    <t>成分名マスタ取込用より取得</t>
    <rPh sb="11" eb="13">
      <t>シュトク</t>
    </rPh>
    <phoneticPr fontId="13"/>
  </si>
  <si>
    <t>単位マスタ取込用「単位名称」より取得</t>
    <rPh sb="16" eb="18">
      <t>シュトク</t>
    </rPh>
    <phoneticPr fontId="13"/>
  </si>
  <si>
    <t>成分量マスタ取込用より取得（YYYYMMDD形式）</t>
    <rPh sb="0" eb="2">
      <t>セイブン</t>
    </rPh>
    <rPh sb="2" eb="3">
      <t>リョウ</t>
    </rPh>
    <rPh sb="6" eb="8">
      <t>トリコミ</t>
    </rPh>
    <rPh sb="8" eb="9">
      <t>ヨウ</t>
    </rPh>
    <rPh sb="11" eb="13">
      <t>シュトク</t>
    </rPh>
    <phoneticPr fontId="13"/>
  </si>
  <si>
    <t>・データ登録日の最大値が設定されていた場合、1を設定
・上記以外の場合、0を設定</t>
    <rPh sb="24" eb="26">
      <t>セッテイ</t>
    </rPh>
    <rPh sb="28" eb="32">
      <t>ジョウキイガイ</t>
    </rPh>
    <rPh sb="33" eb="35">
      <t>バアイ</t>
    </rPh>
    <rPh sb="38" eb="40">
      <t>セッテイ</t>
    </rPh>
    <phoneticPr fontId="13"/>
  </si>
  <si>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3"/>
  </si>
  <si>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3"/>
  </si>
  <si>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3"/>
  </si>
  <si>
    <t>バックアップ_医薬品適用病名関連マスタ</t>
    <phoneticPr fontId="8"/>
  </si>
  <si>
    <t>tekiyou_byoumei_cd</t>
  </si>
  <si>
    <t>kumiawase_cd</t>
  </si>
  <si>
    <t>kankeisei_cd</t>
  </si>
  <si>
    <t>適応病名レセ病名組み合わせ関係リンク親子マスタ取込用より取得</t>
    <rPh sb="28" eb="30">
      <t>シュトク</t>
    </rPh>
    <phoneticPr fontId="13"/>
  </si>
  <si>
    <t>ＹＪコード医薬品コードリンクマスタ取込用より取得</t>
    <rPh sb="22" eb="24">
      <t>シュトク</t>
    </rPh>
    <phoneticPr fontId="13"/>
  </si>
  <si>
    <t>適用病名マスタ取込用より取得</t>
    <rPh sb="0" eb="2">
      <t>テキヨウ</t>
    </rPh>
    <rPh sb="2" eb="4">
      <t>ビョウメイ</t>
    </rPh>
    <rPh sb="7" eb="9">
      <t>トリコミ</t>
    </rPh>
    <rPh sb="9" eb="10">
      <t>ヨウ</t>
    </rPh>
    <rPh sb="12" eb="14">
      <t>シュトク</t>
    </rPh>
    <phoneticPr fontId="13"/>
  </si>
  <si>
    <t>適応病名レセ病名組み合わせ関係リンクマスタ取込用より取得</t>
    <rPh sb="26" eb="28">
      <t>シュトク</t>
    </rPh>
    <phoneticPr fontId="13"/>
  </si>
  <si>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3"/>
  </si>
  <si>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3"/>
  </si>
  <si>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3"/>
  </si>
  <si>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3"/>
  </si>
  <si>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3"/>
  </si>
  <si>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3"/>
  </si>
  <si>
    <t>■項目補足説明</t>
    <rPh sb="1" eb="3">
      <t>コウモク</t>
    </rPh>
    <rPh sb="3" eb="5">
      <t>ホソク</t>
    </rPh>
    <rPh sb="5" eb="7">
      <t>セツメイ</t>
    </rPh>
    <phoneticPr fontId="31"/>
  </si>
  <si>
    <t>※『DIR（ディー・アイ・アール）』はDI社独自の医薬品情報データベースのこと</t>
  </si>
  <si>
    <t>①組み合わせコード</t>
    <phoneticPr fontId="31"/>
  </si>
  <si>
    <t>組み合わせコード</t>
    <rPh sb="0" eb="1">
      <t>ク</t>
    </rPh>
    <rPh sb="2" eb="3">
      <t>ア</t>
    </rPh>
    <phoneticPr fontId="31"/>
  </si>
  <si>
    <t>内容</t>
    <rPh sb="0" eb="2">
      <t>ナイヨウ</t>
    </rPh>
    <phoneticPr fontId="31"/>
  </si>
  <si>
    <t>組み合わせ</t>
    <rPh sb="0" eb="1">
      <t>ク</t>
    </rPh>
    <rPh sb="2" eb="3">
      <t>ア</t>
    </rPh>
    <phoneticPr fontId="31"/>
  </si>
  <si>
    <t>A0</t>
    <phoneticPr fontId="31"/>
  </si>
  <si>
    <t>DIR適応病名１語に対するレセプト病名１語</t>
    <rPh sb="3" eb="5">
      <t>テキオウ</t>
    </rPh>
    <rPh sb="5" eb="7">
      <t>ビョウメイ</t>
    </rPh>
    <rPh sb="8" eb="9">
      <t>ゴ</t>
    </rPh>
    <rPh sb="10" eb="11">
      <t>タイ</t>
    </rPh>
    <rPh sb="17" eb="19">
      <t>ビョウメイ</t>
    </rPh>
    <rPh sb="20" eb="21">
      <t>ゴ</t>
    </rPh>
    <phoneticPr fontId="31"/>
  </si>
  <si>
    <t>他のコードとの組み合わせの必要なし</t>
    <phoneticPr fontId="31"/>
  </si>
  <si>
    <t>B0</t>
    <phoneticPr fontId="31"/>
  </si>
  <si>
    <t>B1</t>
    <phoneticPr fontId="31"/>
  </si>
  <si>
    <t>DIR適応病名の『疾患』（便宜上の疾患を含む）に対するレセプト病名（グループ１）</t>
    <phoneticPr fontId="31"/>
  </si>
  <si>
    <t>B2</t>
    <phoneticPr fontId="31"/>
  </si>
  <si>
    <t>DIR適応病名の『疾患』（便宜上の疾患を含む）に対するレセプト病名（グループ２）</t>
    <phoneticPr fontId="31"/>
  </si>
  <si>
    <t>BZ</t>
    <phoneticPr fontId="31"/>
  </si>
  <si>
    <t>DIR適応病名の『疾患』（便宜上の疾患を含む）に対するレセプト病名（該当レセプト病名なし）</t>
    <phoneticPr fontId="31"/>
  </si>
  <si>
    <t>C0</t>
    <phoneticPr fontId="31"/>
  </si>
  <si>
    <t>DIR適応病名の『症状』（便宜上の疾患を含む）に対するレセプト病名</t>
    <phoneticPr fontId="31"/>
  </si>
  <si>
    <t>C1</t>
    <phoneticPr fontId="31"/>
  </si>
  <si>
    <t>DIR適応病名の『症状』（便宜上の疾患を含む）に対するレセプト病名（グループ１）</t>
    <phoneticPr fontId="31"/>
  </si>
  <si>
    <t>C2</t>
    <phoneticPr fontId="31"/>
  </si>
  <si>
    <t>DIR適応病名の『症状』（便宜上の疾患を含む）に対するレセプト病名（グループ２）</t>
    <phoneticPr fontId="31"/>
  </si>
  <si>
    <t>CZ</t>
    <phoneticPr fontId="31"/>
  </si>
  <si>
    <t>DIR適応病名の『症状』（便宜上の疾患を含む）に対するレセプト病名（該当レセプト病名なし）</t>
    <phoneticPr fontId="31"/>
  </si>
  <si>
    <t>D1</t>
    <phoneticPr fontId="31"/>
  </si>
  <si>
    <t>DIR適応病名１語に対するレセプト病名が２つ以上必要（グループ１）</t>
    <phoneticPr fontId="31"/>
  </si>
  <si>
    <t>D2</t>
    <phoneticPr fontId="31"/>
  </si>
  <si>
    <t>DIR適応病名１語に対するレセプト病名が２つ以上必要（グループ２）</t>
    <phoneticPr fontId="31"/>
  </si>
  <si>
    <t>Z0</t>
    <phoneticPr fontId="31"/>
  </si>
  <si>
    <t>保険請求対象外のDIR適応病名に対するレセプト病名</t>
    <phoneticPr fontId="31"/>
  </si>
  <si>
    <t>NULL</t>
    <phoneticPr fontId="31"/>
  </si>
  <si>
    <t xml:space="preserve">DIR適応病名に対するレセプト病名（該当レセプト病名なし） </t>
    <phoneticPr fontId="31"/>
  </si>
  <si>
    <t>②関係性レベルコード</t>
    <phoneticPr fontId="31"/>
  </si>
  <si>
    <t>関係性レベルコード</t>
    <rPh sb="0" eb="2">
      <t>カンケイ</t>
    </rPh>
    <rPh sb="2" eb="3">
      <t>セイ</t>
    </rPh>
    <phoneticPr fontId="31"/>
  </si>
  <si>
    <t>10</t>
    <phoneticPr fontId="8"/>
  </si>
  <si>
    <t>DIR適応病名とレセプト病名が一致</t>
    <rPh sb="3" eb="5">
      <t>テキオウ</t>
    </rPh>
    <rPh sb="5" eb="7">
      <t>ビョウメイ</t>
    </rPh>
    <rPh sb="12" eb="14">
      <t>ビョウメイ</t>
    </rPh>
    <rPh sb="15" eb="17">
      <t>イッチ</t>
    </rPh>
    <phoneticPr fontId="31"/>
  </si>
  <si>
    <t>20</t>
    <phoneticPr fontId="8"/>
  </si>
  <si>
    <t>DIR適応病名がレセプト病名を包含</t>
    <phoneticPr fontId="31"/>
  </si>
  <si>
    <t>30</t>
    <phoneticPr fontId="8"/>
  </si>
  <si>
    <t>レセプト病名がDIR適応病名を包含</t>
    <phoneticPr fontId="8"/>
  </si>
  <si>
    <t>原則として、関係性コード「10」、「11」に該当するレセプト病名がない場合に、</t>
    <phoneticPr fontId="8"/>
  </si>
  <si>
    <t>40</t>
    <phoneticPr fontId="8"/>
  </si>
  <si>
    <t>DIR適応病名とレセプト病名に相違あり</t>
    <phoneticPr fontId="8"/>
  </si>
  <si>
    <t>「30」、「40」に該当するレセプト病名を関連付ける</t>
    <phoneticPr fontId="8"/>
  </si>
  <si>
    <t>50</t>
    <phoneticPr fontId="8"/>
  </si>
  <si>
    <t>DIR適応病名がICD10の分類名と一致</t>
    <phoneticPr fontId="8"/>
  </si>
  <si>
    <t>DIR適応病名とレセプト病名のリンクなし</t>
    <phoneticPr fontId="8"/>
  </si>
  <si>
    <t>但し、 DIR適応病名が形容詞を含むために関係性コード「10」に該当するレセプト病名がない場合は、次のように関係性を示す。</t>
    <phoneticPr fontId="8"/>
  </si>
  <si>
    <t>11</t>
    <phoneticPr fontId="8"/>
  </si>
  <si>
    <t>形容詞がないDIR適応病名とレセプト病名が一致する</t>
    <rPh sb="0" eb="3">
      <t>ケイヨウシ</t>
    </rPh>
    <rPh sb="9" eb="11">
      <t>テキオウ</t>
    </rPh>
    <rPh sb="11" eb="13">
      <t>ビョウメイ</t>
    </rPh>
    <rPh sb="18" eb="20">
      <t>ビョウメイ</t>
    </rPh>
    <rPh sb="21" eb="23">
      <t>イッチ</t>
    </rPh>
    <phoneticPr fontId="31"/>
  </si>
  <si>
    <t>21</t>
    <phoneticPr fontId="8"/>
  </si>
  <si>
    <t>形容詞がないDIR適応病名がレセプト病名を包含している</t>
    <phoneticPr fontId="31"/>
  </si>
  <si>
    <t>51</t>
    <phoneticPr fontId="8"/>
  </si>
  <si>
    <t>形容詞がないDIR適応病名と一致する分類名のICD10に含まれる</t>
    <phoneticPr fontId="8"/>
  </si>
  <si>
    <t>他の「コードB」との組み合わせの必要はないが、「コードC」との組み合わせが必要</t>
    <phoneticPr fontId="31"/>
  </si>
  <si>
    <t>「コードB」の他のグループとの組み合わせ、及び「コードC」との組み合わせが必</t>
    <phoneticPr fontId="31"/>
  </si>
  <si>
    <t>「コードB」の他のグループとの組み合わせ、及び「コードC」との組み合わせが必要</t>
    <phoneticPr fontId="31"/>
  </si>
  <si>
    <t>『疾患』に該当するレセプト病名をリンクしていないので、確認が必要</t>
    <phoneticPr fontId="31"/>
  </si>
  <si>
    <t>他の「コードC」との組み合わせの必要はないが、「コードB」との組み合わせが必要</t>
    <phoneticPr fontId="31"/>
  </si>
  <si>
    <t>「コードC」の他のグループとの組み合わせ、及び「コードB」との組み合わせが必要</t>
    <phoneticPr fontId="31"/>
  </si>
  <si>
    <t>『症状』に該当するレセプト病名をリンクしていないので、確認が必要</t>
    <phoneticPr fontId="31"/>
  </si>
  <si>
    <t>「コードD」の他のグループとの組み合わせが必要</t>
    <phoneticPr fontId="31"/>
  </si>
  <si>
    <t>『疾患』、『症状』に関わらず一律でコードを付与</t>
    <phoneticPr fontId="31"/>
  </si>
  <si>
    <t>レセプト病名をリンクしていないので、確認が必要</t>
    <phoneticPr fontId="31"/>
  </si>
  <si>
    <t xml:space="preserve">DIR適応病名の『疾患』（便宜上の疾患を含む）に対するレセプト病名 </t>
    <phoneticPr fontId="31"/>
  </si>
  <si>
    <t>バックアップ_MML_診断履歴情報モジュール_本文</t>
    <phoneticPr fontId="8"/>
  </si>
  <si>
    <t>ZipファイルNo</t>
  </si>
  <si>
    <t>zip_no</t>
  </si>
  <si>
    <t>整数</t>
    <rPh sb="0" eb="2">
      <t>セイスウ</t>
    </rPh>
    <phoneticPr fontId="5"/>
  </si>
  <si>
    <t>ファイルNo</t>
  </si>
  <si>
    <t>file_no</t>
  </si>
  <si>
    <t>本文No</t>
    <rPh sb="0" eb="2">
      <t>ホンブン</t>
    </rPh>
    <phoneticPr fontId="10"/>
  </si>
  <si>
    <t>body_no</t>
  </si>
  <si>
    <t>施設ID（MML）</t>
    <rPh sb="0" eb="2">
      <t>シセツ</t>
    </rPh>
    <phoneticPr fontId="5"/>
  </si>
  <si>
    <t>患者ID</t>
  </si>
  <si>
    <t>start_date</t>
  </si>
  <si>
    <t>end_date</t>
  </si>
  <si>
    <t>outcome</t>
  </si>
  <si>
    <t>first_encounter_date</t>
  </si>
  <si>
    <t>施設OID</t>
    <rPh sb="0" eb="2">
      <t>シセツ</t>
    </rPh>
    <phoneticPr fontId="10"/>
  </si>
  <si>
    <t>YYYY-MM-DDThh:mm:ss</t>
  </si>
  <si>
    <t>バックアップ_MML_診断履歴情報モジュール_病名</t>
    <phoneticPr fontId="8"/>
  </si>
  <si>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</si>
  <si>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</si>
  <si>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</si>
  <si>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</si>
  <si>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</si>
  <si>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</si>
  <si>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</si>
  <si>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</si>
  <si>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9"/>
  </si>
  <si>
    <t>diagnosisまたはdiagnosisContentsの何れかから取得する</t>
    <rPh sb="30" eb="31">
      <t>イズ</t>
    </rPh>
    <rPh sb="35" eb="37">
      <t>シュトク</t>
    </rPh>
    <phoneticPr fontId="10"/>
  </si>
  <si>
    <t>バックアップ_MML_診断履歴情報モジュール_カテゴリ名</t>
    <phoneticPr fontId="8"/>
  </si>
  <si>
    <t>カテゴリ名No</t>
  </si>
  <si>
    <t>category_no</t>
  </si>
  <si>
    <t>category</t>
  </si>
  <si>
    <t>table_id</t>
  </si>
  <si>
    <t>バックアップ_MML_処方箋モジュール_本文</t>
    <phoneticPr fontId="8"/>
  </si>
  <si>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</si>
  <si>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</si>
  <si>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</si>
  <si>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</si>
  <si>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</si>
  <si>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</si>
  <si>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</si>
  <si>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8"/>
  </si>
  <si>
    <t>投薬No</t>
    <rPh sb="0" eb="2">
      <t>トウヤク</t>
    </rPh>
    <phoneticPr fontId="10"/>
  </si>
  <si>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</si>
  <si>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</si>
  <si>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</si>
  <si>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</si>
  <si>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</si>
  <si>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</si>
  <si>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</si>
  <si>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</si>
  <si>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</si>
  <si>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</si>
  <si>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</si>
  <si>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</si>
  <si>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</si>
  <si>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</si>
  <si>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</si>
  <si>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</si>
  <si>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</si>
  <si>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</si>
  <si>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</si>
  <si>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</si>
  <si>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</si>
  <si>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</si>
  <si>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</si>
  <si>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</si>
  <si>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</si>
  <si>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</si>
  <si>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</si>
  <si>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</si>
  <si>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</si>
  <si>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</si>
  <si>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</si>
  <si>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</si>
  <si>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</si>
  <si>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</si>
  <si>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8"/>
  </si>
  <si>
    <t>薬剤No</t>
    <rPh sb="0" eb="2">
      <t>ヤクザイ</t>
    </rPh>
    <phoneticPr fontId="10"/>
  </si>
  <si>
    <t>medicine_no</t>
  </si>
  <si>
    <t>薬剤コード</t>
  </si>
  <si>
    <t>薬剤コード体系</t>
  </si>
  <si>
    <t>バックアップ_MML_注射記録モジュール_本文</t>
    <phoneticPr fontId="8"/>
  </si>
  <si>
    <t>投与開始日時</t>
    <rPh sb="0" eb="2">
      <t>トウヨ</t>
    </rPh>
    <phoneticPr fontId="9"/>
  </si>
  <si>
    <t>start_date_time</t>
  </si>
  <si>
    <t>投与終了日時</t>
    <rPh sb="0" eb="2">
      <t>トウヨ</t>
    </rPh>
    <rPh sb="2" eb="4">
      <t>シュウリョウ</t>
    </rPh>
    <phoneticPr fontId="9"/>
  </si>
  <si>
    <t>end_date_time</t>
  </si>
  <si>
    <t>投与部位</t>
  </si>
  <si>
    <t>site</t>
  </si>
  <si>
    <t>注射方法</t>
  </si>
  <si>
    <t>delivery_method</t>
  </si>
  <si>
    <t>バックアップ_MML_注射記録モジュール_投薬</t>
    <phoneticPr fontId="8"/>
  </si>
  <si>
    <t>バックアップ_MML_注射記録モジュール_薬剤</t>
    <phoneticPr fontId="8"/>
  </si>
  <si>
    <t>バックアップ_MML_手術モジュール_手術項目</t>
    <phoneticPr fontId="8"/>
  </si>
  <si>
    <t>手術項目No</t>
    <rPh sb="0" eb="2">
      <t>シュジュツ</t>
    </rPh>
    <rPh sb="2" eb="4">
      <t>コウモク</t>
    </rPh>
    <phoneticPr fontId="10"/>
  </si>
  <si>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</si>
  <si>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</si>
  <si>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</si>
  <si>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</si>
  <si>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</si>
  <si>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</si>
  <si>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</si>
  <si>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</si>
  <si>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</si>
  <si>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</si>
  <si>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</si>
  <si>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</si>
  <si>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</si>
  <si>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</si>
  <si>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</si>
  <si>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</si>
  <si>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</si>
  <si>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8"/>
  </si>
  <si>
    <t>手術項目No</t>
    <rPh sb="0" eb="2">
      <t>シュジュツ</t>
    </rPh>
    <rPh sb="2" eb="4">
      <t>コウモク</t>
    </rPh>
    <phoneticPr fontId="29"/>
  </si>
  <si>
    <t>タグ名</t>
    <rPh sb="2" eb="3">
      <t>メイ</t>
    </rPh>
    <phoneticPr fontId="9"/>
  </si>
  <si>
    <t>診療科情報No</t>
  </si>
  <si>
    <t>dp_no</t>
  </si>
  <si>
    <t>診療科名称No</t>
    <rPh sb="3" eb="5">
      <t>メイショウ</t>
    </rPh>
    <phoneticPr fontId="10"/>
  </si>
  <si>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</si>
  <si>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</si>
  <si>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</si>
  <si>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</si>
  <si>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</si>
  <si>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</si>
  <si>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</si>
  <si>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</si>
  <si>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</si>
  <si>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</si>
  <si>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0"/>
  </si>
  <si>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</si>
  <si>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</si>
  <si>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</si>
  <si>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</si>
  <si>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</si>
  <si>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0"/>
  </si>
  <si>
    <t>タグごとの診療科情報の連番を付与</t>
    <rPh sb="5" eb="8">
      <t>シンリョウカ</t>
    </rPh>
    <rPh sb="8" eb="10">
      <t>ジョウホウ</t>
    </rPh>
    <rPh sb="11" eb="13">
      <t>レンバン</t>
    </rPh>
    <rPh sb="14" eb="16">
      <t>フヨ</t>
    </rPh>
    <phoneticPr fontId="10"/>
  </si>
  <si>
    <t>診療科情報ごとの診療科名の連番を付与</t>
    <rPh sb="8" eb="10">
      <t>シンリョウ</t>
    </rPh>
    <rPh sb="10" eb="12">
      <t>カメイ</t>
    </rPh>
    <rPh sb="13" eb="15">
      <t>レンバン</t>
    </rPh>
    <rPh sb="16" eb="18">
      <t>フヨ</t>
    </rPh>
    <phoneticPr fontId="10"/>
  </si>
  <si>
    <t>バックアップ_MML_手術モジュール_診断履歴情報</t>
    <phoneticPr fontId="8"/>
  </si>
  <si>
    <t>診断履歴情報No</t>
    <rPh sb="0" eb="2">
      <t>シンダン</t>
    </rPh>
    <rPh sb="2" eb="4">
      <t>リレキ</t>
    </rPh>
    <rPh sb="4" eb="6">
      <t>ジョウホウ</t>
    </rPh>
    <phoneticPr fontId="10"/>
  </si>
  <si>
    <t>rd_no</t>
  </si>
  <si>
    <t>バックアップ_MML_手術モジュール_病名</t>
    <phoneticPr fontId="8"/>
  </si>
  <si>
    <t>バックアップ_MML_手術モジュール_カテゴリ名</t>
    <phoneticPr fontId="8"/>
  </si>
  <si>
    <t>バックアップ_MML_手術モジュール_手術法</t>
    <phoneticPr fontId="8"/>
  </si>
  <si>
    <t>手術法No</t>
    <rPh sb="0" eb="3">
      <t>シュジュツホウ</t>
    </rPh>
    <phoneticPr fontId="10"/>
  </si>
  <si>
    <t>procedure_no</t>
  </si>
  <si>
    <t>手術法</t>
  </si>
  <si>
    <t>operation</t>
  </si>
  <si>
    <t>手術法コード</t>
  </si>
  <si>
    <t>手術法コード体系名</t>
  </si>
  <si>
    <t>手術法に関する追加事項</t>
  </si>
  <si>
    <t>procedure_memo</t>
  </si>
  <si>
    <t>バックアップ_MML_手術モジュール_手術要素</t>
    <phoneticPr fontId="8"/>
  </si>
  <si>
    <t>手術要素No</t>
    <rPh sb="0" eb="2">
      <t>シュジュツ</t>
    </rPh>
    <rPh sb="2" eb="4">
      <t>ヨウソ</t>
    </rPh>
    <phoneticPr fontId="10"/>
  </si>
  <si>
    <t>operation_element_no</t>
  </si>
  <si>
    <t>分割された手術要素名</t>
  </si>
  <si>
    <t>バックアップ_MML_手術モジュール_麻酔法</t>
    <phoneticPr fontId="8"/>
  </si>
  <si>
    <t>麻酔法No</t>
    <rPh sb="0" eb="3">
      <t>マスイホウ</t>
    </rPh>
    <phoneticPr fontId="10"/>
  </si>
  <si>
    <t>anesthesia_no</t>
  </si>
  <si>
    <t>麻酔法名</t>
  </si>
  <si>
    <t>title</t>
  </si>
  <si>
    <t>麻酔法名コード</t>
  </si>
  <si>
    <t>麻酔法名コード体系名</t>
  </si>
  <si>
    <t>バックアップ_MML_報告書情報モジュール_本文</t>
    <phoneticPr fontId="8"/>
  </si>
  <si>
    <t>検査実施日時</t>
    <rPh sb="0" eb="2">
      <t>ケンサ</t>
    </rPh>
    <rPh sb="2" eb="4">
      <t>ジッシ</t>
    </rPh>
    <rPh sb="4" eb="5">
      <t>ビ</t>
    </rPh>
    <rPh sb="5" eb="6">
      <t>ジ</t>
    </rPh>
    <phoneticPr fontId="11"/>
  </si>
  <si>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</si>
  <si>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</si>
  <si>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</si>
  <si>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</si>
  <si>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</si>
  <si>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</si>
  <si>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</si>
  <si>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</si>
  <si>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</si>
  <si>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</si>
  <si>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</si>
  <si>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</si>
  <si>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</si>
  <si>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</si>
  <si>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</si>
  <si>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</si>
  <si>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</si>
  <si>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</si>
  <si>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</si>
  <si>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</si>
  <si>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</si>
  <si>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</si>
  <si>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</si>
  <si>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</si>
  <si>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</si>
  <si>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</si>
  <si>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</si>
  <si>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</si>
  <si>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</si>
  <si>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</si>
  <si>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</si>
  <si>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</si>
  <si>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</si>
  <si>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</si>
  <si>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</si>
  <si>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</si>
  <si>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</si>
  <si>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</si>
  <si>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</si>
  <si>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</si>
  <si>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</si>
  <si>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</si>
  <si>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</si>
  <si>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</si>
  <si>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</si>
  <si>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</si>
  <si>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</si>
  <si>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</si>
  <si>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</si>
  <si>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</si>
  <si>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</si>
  <si>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</si>
  <si>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</si>
  <si>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</si>
  <si>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</si>
  <si>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</si>
  <si>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8"/>
  </si>
  <si>
    <t>検査コメントNo</t>
    <rPh sb="0" eb="2">
      <t>ケンサ</t>
    </rPh>
    <phoneticPr fontId="10"/>
  </si>
  <si>
    <t>test_memo_no</t>
  </si>
  <si>
    <t>検査コメント</t>
  </si>
  <si>
    <t>test_memo</t>
  </si>
  <si>
    <t>検査コメント名称</t>
    <rPh sb="6" eb="8">
      <t>メイショウ</t>
    </rPh>
    <phoneticPr fontId="11"/>
  </si>
  <si>
    <t>tm_code_name</t>
  </si>
  <si>
    <t>検査コメントコード</t>
  </si>
  <si>
    <t>tm_code</t>
  </si>
  <si>
    <t>検査コメントコードID</t>
  </si>
  <si>
    <t>tm_code_id</t>
  </si>
  <si>
    <t>バックアップ_MML_紹介状モジュール_本文</t>
    <phoneticPr fontId="8"/>
  </si>
  <si>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</si>
  <si>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</si>
  <si>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</si>
  <si>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</si>
  <si>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</si>
  <si>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</si>
  <si>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</si>
  <si>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</si>
  <si>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</si>
  <si>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</si>
  <si>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</si>
  <si>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</si>
  <si>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</si>
  <si>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</si>
  <si>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</si>
  <si>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</si>
  <si>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</si>
  <si>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</si>
  <si>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</si>
  <si>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</si>
  <si>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</si>
  <si>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</si>
  <si>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</si>
  <si>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</si>
  <si>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</si>
  <si>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</si>
  <si>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</si>
  <si>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</si>
  <si>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8"/>
  </si>
  <si>
    <t>バックアップ_MML_紹介状モジュール_注射記録投薬</t>
    <phoneticPr fontId="8"/>
  </si>
  <si>
    <t>投与開始日時</t>
    <rPh sb="0" eb="2">
      <t>トウヨ</t>
    </rPh>
    <rPh sb="2" eb="4">
      <t>カイシ</t>
    </rPh>
    <rPh sb="4" eb="6">
      <t>ニチジ</t>
    </rPh>
    <phoneticPr fontId="11"/>
  </si>
  <si>
    <t>投与終了日時</t>
    <rPh sb="0" eb="2">
      <t>トウヨ</t>
    </rPh>
    <rPh sb="2" eb="4">
      <t>シュウリョウ</t>
    </rPh>
    <phoneticPr fontId="11"/>
  </si>
  <si>
    <t>バックアップ_MML_紹介状モジュール_注射記録薬剤</t>
    <phoneticPr fontId="8"/>
  </si>
  <si>
    <t>バックアップ_MML_紹介状モジュール_患者情報</t>
    <phoneticPr fontId="8"/>
  </si>
  <si>
    <t>nationality</t>
  </si>
  <si>
    <t>subtype</t>
  </si>
  <si>
    <t>人種</t>
  </si>
  <si>
    <t>人種コード</t>
  </si>
  <si>
    <t>人種テーブル名</t>
    <rPh sb="6" eb="7">
      <t>メイ</t>
    </rPh>
    <phoneticPr fontId="9"/>
  </si>
  <si>
    <t>social_identification</t>
  </si>
  <si>
    <t>death</t>
  </si>
  <si>
    <t>female
male
other
unknown</t>
  </si>
  <si>
    <t>true：死亡
false：生存</t>
  </si>
  <si>
    <t>バックアップ_MML_紹介状モジュール_患者情報住所</t>
    <phoneticPr fontId="8"/>
  </si>
  <si>
    <t>住所No</t>
    <rPh sb="0" eb="2">
      <t>ジュウショ</t>
    </rPh>
    <phoneticPr fontId="10"/>
  </si>
  <si>
    <t>address_no</t>
  </si>
  <si>
    <t>表記法</t>
  </si>
  <si>
    <t>rep_code</t>
  </si>
  <si>
    <t>住所の種類コード</t>
  </si>
  <si>
    <t>address_class</t>
  </si>
  <si>
    <t>一連住所</t>
  </si>
  <si>
    <t>address_full</t>
  </si>
  <si>
    <t>市，区，郡</t>
  </si>
  <si>
    <t>町，村</t>
  </si>
  <si>
    <t>town</t>
  </si>
  <si>
    <t>番地，丁目等</t>
    <rPh sb="5" eb="6">
      <t>トウ</t>
    </rPh>
    <phoneticPr fontId="9"/>
  </si>
  <si>
    <t>home_number</t>
  </si>
  <si>
    <t>郵便番号</t>
  </si>
  <si>
    <t>zip</t>
  </si>
  <si>
    <t>国コード</t>
  </si>
  <si>
    <t>country_code</t>
  </si>
  <si>
    <t>バックアップ_MML_紹介状モジュール_処方箋</t>
    <phoneticPr fontId="8"/>
  </si>
  <si>
    <t>バックアップ_MML_紹介状モジュール_処方箋投薬</t>
    <phoneticPr fontId="8"/>
  </si>
  <si>
    <t>バックアップ_MML_紹介状モジュール_処方箋薬剤</t>
    <phoneticPr fontId="8"/>
  </si>
  <si>
    <t>バックアップ_MML_紹介状モジュール_臨床サマリー情報経過記録</t>
    <phoneticPr fontId="8"/>
  </si>
  <si>
    <t>経過記録No</t>
    <rPh sb="0" eb="2">
      <t>ケイカ</t>
    </rPh>
    <rPh sb="2" eb="4">
      <t>キロク</t>
    </rPh>
    <phoneticPr fontId="10"/>
  </si>
  <si>
    <t>clinical_record_no</t>
  </si>
  <si>
    <t>clinical_record</t>
  </si>
  <si>
    <t>clinical_record_date</t>
  </si>
  <si>
    <t>関連文書</t>
    <rPh sb="0" eb="2">
      <t>カンレン</t>
    </rPh>
    <rPh sb="2" eb="4">
      <t>ブンショ</t>
    </rPh>
    <phoneticPr fontId="9"/>
  </si>
  <si>
    <t>related_doc</t>
  </si>
  <si>
    <t>関連文書_関連の種別</t>
    <rPh sb="0" eb="2">
      <t>カンレン</t>
    </rPh>
    <rPh sb="2" eb="4">
      <t>ブンショ</t>
    </rPh>
    <phoneticPr fontId="9"/>
  </si>
  <si>
    <t>related_doc_relation</t>
  </si>
  <si>
    <t>sgioy_202310_backup_text_mml_mmlre_sm_clinical_record</t>
    <phoneticPr fontId="8"/>
  </si>
  <si>
    <t>MML_紹介状モジュール_臨床サマリー情報経過記録テーブルから組入れ条件の第一条件で絞り込んだ結果を格納するバックアップテーブル</t>
    <phoneticPr fontId="8"/>
  </si>
  <si>
    <t>バックアップ_MML_紹介状モジュール_診療科情報</t>
    <phoneticPr fontId="8"/>
  </si>
  <si>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</si>
  <si>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</si>
  <si>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</si>
  <si>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</si>
  <si>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</si>
  <si>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</si>
  <si>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</si>
  <si>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</si>
  <si>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</si>
  <si>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</si>
  <si>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</si>
  <si>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</si>
  <si>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</si>
  <si>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</si>
  <si>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</si>
  <si>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</si>
  <si>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</si>
  <si>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</si>
  <si>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</si>
  <si>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</si>
  <si>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</si>
  <si>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</si>
  <si>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</si>
  <si>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</si>
  <si>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</si>
  <si>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</si>
  <si>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</si>
  <si>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</si>
  <si>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</si>
  <si>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</si>
  <si>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</si>
  <si>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</si>
  <si>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</si>
  <si>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</si>
  <si>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</si>
  <si>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</si>
  <si>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</si>
  <si>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</si>
  <si>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</si>
  <si>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</si>
  <si>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</si>
  <si>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</si>
  <si>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</si>
  <si>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</si>
  <si>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</si>
  <si>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</si>
  <si>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8"/>
  </si>
  <si>
    <t>ENT_01_A1-03</t>
    <phoneticPr fontId="8"/>
  </si>
  <si>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</si>
  <si>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</si>
  <si>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</si>
  <si>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</si>
  <si>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</si>
  <si>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</si>
  <si>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</si>
  <si>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</si>
  <si>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</si>
  <si>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</si>
  <si>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</si>
  <si>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</si>
  <si>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</si>
  <si>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</si>
  <si>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</si>
  <si>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</si>
  <si>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</si>
  <si>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</si>
  <si>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</si>
  <si>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</si>
  <si>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</si>
  <si>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</si>
  <si>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</si>
  <si>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</si>
  <si>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</si>
  <si>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8"/>
  </si>
  <si>
    <t>ENT_01_A4-02</t>
  </si>
  <si>
    <t>ENT_01_A4-03</t>
  </si>
  <si>
    <t>ENT_01_A4-04</t>
  </si>
  <si>
    <t>ENT_01_A4-05</t>
  </si>
  <si>
    <t>ENT_01_A4-07</t>
  </si>
  <si>
    <t>ENT_01_A4-08</t>
  </si>
  <si>
    <t>ENT_01_A4-09</t>
  </si>
  <si>
    <t>ENT_01_A4-10</t>
  </si>
  <si>
    <t>ENT_01_A4-11</t>
  </si>
  <si>
    <t>ENT_01_A4-12</t>
  </si>
  <si>
    <t>ENT_01_A4-13</t>
  </si>
  <si>
    <t>ENT_01_A4-14</t>
  </si>
  <si>
    <t>01_C1-01</t>
    <phoneticPr fontId="8"/>
  </si>
  <si>
    <t>01_C1-02</t>
  </si>
  <si>
    <t>01_C1-03</t>
  </si>
  <si>
    <t>01_C1-04</t>
  </si>
  <si>
    <t>01_C1-05</t>
  </si>
  <si>
    <t>01_C1-07</t>
  </si>
  <si>
    <t>01_C1-08</t>
  </si>
  <si>
    <t>01_01</t>
    <phoneticPr fontId="8"/>
  </si>
  <si>
    <t>処方データ</t>
    <rPh sb="0" eb="2">
      <t>ショホウ</t>
    </rPh>
    <phoneticPr fontId="11"/>
  </si>
  <si>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8"/>
  </si>
  <si>
    <t>バックアップ_処方データ_組み入れ第一条件</t>
    <phoneticPr fontId="8"/>
  </si>
  <si>
    <t>二次利用DB登録患者紐付けデータ</t>
    <rPh sb="0" eb="2">
      <t>ニジ</t>
    </rPh>
    <rPh sb="2" eb="4">
      <t>リヨウ</t>
    </rPh>
    <rPh sb="6" eb="8">
      <t>トウロク</t>
    </rPh>
    <rPh sb="8" eb="10">
      <t>カンジャ</t>
    </rPh>
    <rPh sb="10" eb="11">
      <t>ヒモ</t>
    </rPh>
    <rPh sb="11" eb="12">
      <t>ツ</t>
    </rPh>
    <phoneticPr fontId="11"/>
  </si>
  <si>
    <t>バックアップ_患者マスタ_組み入れ第一条件</t>
    <rPh sb="7" eb="9">
      <t>カンジャ</t>
    </rPh>
    <phoneticPr fontId="8"/>
  </si>
  <si>
    <t>01_02</t>
    <phoneticPr fontId="8"/>
  </si>
  <si>
    <t>ENT_01_A6-02</t>
    <phoneticPr fontId="8"/>
  </si>
  <si>
    <t>バックアップ_MML共通</t>
    <phoneticPr fontId="8"/>
  </si>
  <si>
    <t>ENT_01_A6-03</t>
    <phoneticPr fontId="8"/>
  </si>
  <si>
    <t>ENT_01_A6-04</t>
  </si>
  <si>
    <t>ENT_01_A6-05</t>
  </si>
  <si>
    <t>ENT_01_A6-24</t>
    <phoneticPr fontId="8"/>
  </si>
  <si>
    <t>ENT_01_A6-25</t>
  </si>
  <si>
    <t>ENT_01_A6-26</t>
  </si>
  <si>
    <t>ENT_01_A6-27</t>
  </si>
  <si>
    <t>ENT_01_A6-28</t>
  </si>
  <si>
    <t>ENT_01_A6-29</t>
  </si>
  <si>
    <t>ENT_01_A6-42</t>
    <phoneticPr fontId="8"/>
  </si>
  <si>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</si>
  <si>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</si>
  <si>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</si>
  <si>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</si>
  <si>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</si>
  <si>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</si>
  <si>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</si>
  <si>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</si>
  <si>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</si>
  <si>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</si>
  <si>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</si>
  <si>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</si>
  <si>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</si>
  <si>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</si>
  <si>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</si>
  <si>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</si>
  <si>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</si>
  <si>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</si>
  <si>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</si>
  <si>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</si>
  <si>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</si>
  <si>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8"/>
  </si>
  <si>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</si>
  <si>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</si>
  <si>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</si>
  <si>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</si>
  <si>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</si>
  <si>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</si>
  <si>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</si>
  <si>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</si>
  <si>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</si>
  <si>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</si>
  <si>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</si>
  <si>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</si>
  <si>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</si>
  <si>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</si>
  <si>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</si>
  <si>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</si>
  <si>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8"/>
  </si>
  <si>
    <t>ENT_01_A3-34</t>
  </si>
  <si>
    <t>ENT_01_A3-35</t>
  </si>
  <si>
    <t>ENT_01_A3-36</t>
  </si>
  <si>
    <t>ENT_01_A3-37</t>
  </si>
  <si>
    <t>バックアップ_医薬品マスタ</t>
    <rPh sb="7" eb="10">
      <t>イヤクヒン</t>
    </rPh>
    <phoneticPr fontId="8"/>
  </si>
  <si>
    <t>バックアップ_医薬品ブランドマスタ</t>
    <rPh sb="7" eb="10">
      <t>イヤクヒン</t>
    </rPh>
    <phoneticPr fontId="8"/>
  </si>
  <si>
    <t>バックアップ_医薬品一般名マスタ</t>
    <rPh sb="7" eb="10">
      <t>イヤクヒン</t>
    </rPh>
    <rPh sb="10" eb="12">
      <t>イッパン</t>
    </rPh>
    <rPh sb="12" eb="13">
      <t>メイ</t>
    </rPh>
    <phoneticPr fontId="8"/>
  </si>
  <si>
    <t>バックアップ_医薬品販売会社マスタ</t>
    <rPh sb="7" eb="10">
      <t>イヤクヒン</t>
    </rPh>
    <rPh sb="10" eb="12">
      <t>ハンバイ</t>
    </rPh>
    <rPh sb="12" eb="14">
      <t>ガイシャ</t>
    </rPh>
    <phoneticPr fontId="8"/>
  </si>
  <si>
    <t>バックアップ_メーカマスタ</t>
    <phoneticPr fontId="8"/>
  </si>
  <si>
    <t>バックアップ_薬価マスタ</t>
    <rPh sb="7" eb="9">
      <t>ヤッカ</t>
    </rPh>
    <phoneticPr fontId="8"/>
  </si>
  <si>
    <t>バックアップ_薬効ATC分類1マスタ</t>
    <phoneticPr fontId="8"/>
  </si>
  <si>
    <t>バックアップ_薬効ATC分類2マスタ</t>
    <rPh sb="7" eb="9">
      <t>ヤッコウ</t>
    </rPh>
    <rPh sb="12" eb="14">
      <t>ブンルイ</t>
    </rPh>
    <phoneticPr fontId="8"/>
  </si>
  <si>
    <t>バックアップ_薬効ATC分類3マスタ</t>
    <rPh sb="7" eb="9">
      <t>ヤッコウ</t>
    </rPh>
    <rPh sb="12" eb="14">
      <t>ブンルイ</t>
    </rPh>
    <phoneticPr fontId="8"/>
  </si>
  <si>
    <t>バックアップ_薬効ATC分類4マスタ</t>
    <rPh sb="7" eb="9">
      <t>ヤッコウ</t>
    </rPh>
    <rPh sb="12" eb="14">
      <t>ブンルイ</t>
    </rPh>
    <phoneticPr fontId="8"/>
  </si>
  <si>
    <t>バックアップ_薬効ATC分類5マスタ</t>
    <rPh sb="7" eb="9">
      <t>ヤッコウ</t>
    </rPh>
    <rPh sb="12" eb="14">
      <t>ブンルイ</t>
    </rPh>
    <phoneticPr fontId="8"/>
  </si>
  <si>
    <t>バックアップ_疾病マスタ</t>
    <rPh sb="7" eb="9">
      <t>シッペイ</t>
    </rPh>
    <phoneticPr fontId="8"/>
  </si>
  <si>
    <t>バックアップ_ICD10大分類マスタ</t>
    <phoneticPr fontId="8"/>
  </si>
  <si>
    <t>バックアップ_ICD10中分類マスタ</t>
    <phoneticPr fontId="8"/>
  </si>
  <si>
    <t>バックアップ_ICD10小分類マスタ</t>
    <phoneticPr fontId="8"/>
  </si>
  <si>
    <t>バックアップ_ICD10細分類マスタ</t>
    <phoneticPr fontId="8"/>
  </si>
  <si>
    <t>バックアップ_DPC2桁マスタ</t>
    <phoneticPr fontId="8"/>
  </si>
  <si>
    <t>バックアップ_DPC6桁マスタ</t>
    <rPh sb="11" eb="12">
      <t>ケタ</t>
    </rPh>
    <phoneticPr fontId="8"/>
  </si>
  <si>
    <t>バックアップ_郵便番号マスタ</t>
    <rPh sb="7" eb="11">
      <t>ユウビンバンゴウ</t>
    </rPh>
    <phoneticPr fontId="8"/>
  </si>
  <si>
    <t>バックアップ_特定機材マスタ</t>
    <rPh sb="7" eb="9">
      <t>トクテイ</t>
    </rPh>
    <rPh sb="9" eb="11">
      <t>キザイ</t>
    </rPh>
    <phoneticPr fontId="8"/>
  </si>
  <si>
    <t>本文No</t>
    <rPh sb="0" eb="2">
      <t>ホンブン</t>
    </rPh>
    <phoneticPr fontId="12"/>
  </si>
  <si>
    <t>施設ID（MML）</t>
    <rPh sb="0" eb="2">
      <t>シセツ</t>
    </rPh>
    <phoneticPr fontId="2"/>
  </si>
  <si>
    <t>UID</t>
  </si>
  <si>
    <t>記載確定日</t>
  </si>
  <si>
    <t>comfirm_date</t>
  </si>
  <si>
    <t>MMLモジュール種別</t>
    <rPh sb="8" eb="10">
      <t>シュベツ</t>
    </rPh>
    <phoneticPr fontId="12"/>
  </si>
  <si>
    <t>mml_type</t>
  </si>
  <si>
    <t>ファイル名</t>
    <rPh sb="4" eb="5">
      <t>メイ</t>
    </rPh>
    <phoneticPr fontId="12"/>
  </si>
  <si>
    <t>file_name</t>
  </si>
  <si>
    <t>最新フラグ</t>
    <rPh sb="0" eb="2">
      <t>サイシン</t>
    </rPh>
    <phoneticPr fontId="12"/>
  </si>
  <si>
    <t>削除フラグ</t>
    <rPh sb="0" eb="2">
      <t>サクジョ</t>
    </rPh>
    <phoneticPr fontId="12"/>
  </si>
  <si>
    <t>整数</t>
    <rPh sb="0" eb="2">
      <t>セイスウ</t>
    </rPh>
    <phoneticPr fontId="2"/>
  </si>
  <si>
    <t>施設OID</t>
    <rPh sb="0" eb="2">
      <t>シセツ</t>
    </rPh>
    <phoneticPr fontId="12"/>
  </si>
  <si>
    <t>MMLファイル名（.xmlは含まない）</t>
    <rPh sb="7" eb="8">
      <t>メイ</t>
    </rPh>
    <rPh sb="14" eb="15">
      <t>フク</t>
    </rPh>
    <phoneticPr fontId="12"/>
  </si>
  <si>
    <t>最新の場合TRUE</t>
    <rPh sb="0" eb="2">
      <t>サイシン</t>
    </rPh>
    <rPh sb="3" eb="5">
      <t>バアイ</t>
    </rPh>
    <phoneticPr fontId="12"/>
  </si>
  <si>
    <t>削除済みの場合TRUE</t>
    <rPh sb="0" eb="2">
      <t>サクジョ</t>
    </rPh>
    <rPh sb="2" eb="3">
      <t>ズ</t>
    </rPh>
    <rPh sb="5" eb="7">
      <t>バアイ</t>
    </rPh>
    <phoneticPr fontId="12"/>
  </si>
  <si>
    <t>整数</t>
    <rPh sb="0" eb="2">
      <t>セイスウ</t>
    </rPh>
    <phoneticPr fontId="7"/>
  </si>
  <si>
    <t>施設ID（MML）</t>
    <rPh sb="0" eb="2">
      <t>シセツ</t>
    </rPh>
    <phoneticPr fontId="7"/>
  </si>
  <si>
    <t>文字列</t>
    <rPh sb="0" eb="3">
      <t>モジレツ</t>
    </rPh>
    <phoneticPr fontId="7"/>
  </si>
  <si>
    <t>tobacco</t>
  </si>
  <si>
    <t>飲酒歴</t>
  </si>
  <si>
    <t>alcohol</t>
  </si>
  <si>
    <t>その他の生活習慣</t>
  </si>
  <si>
    <t>other</t>
  </si>
  <si>
    <t>喫煙歴</t>
    <phoneticPr fontId="8"/>
  </si>
  <si>
    <t>テーブル物理名プレフィックス</t>
    <rPh sb="4" eb="7">
      <t>ブツリメイ</t>
    </rPh>
    <phoneticPr fontId="8"/>
  </si>
  <si>
    <t>バックアップ_医薬品マスタ</t>
    <phoneticPr fontId="8"/>
  </si>
  <si>
    <t>施行日</t>
    <rPh sb="0" eb="3">
      <t>シコウビ</t>
    </rPh>
    <phoneticPr fontId="2"/>
  </si>
  <si>
    <t>sekoubi</t>
  </si>
  <si>
    <t>更新区分</t>
    <rPh sb="0" eb="2">
      <t>コウシン</t>
    </rPh>
    <rPh sb="2" eb="4">
      <t>クブン</t>
    </rPh>
    <phoneticPr fontId="2"/>
  </si>
  <si>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</si>
  <si>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</si>
  <si>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</si>
  <si>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</si>
  <si>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</si>
  <si>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</si>
  <si>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</si>
  <si>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</si>
  <si>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</si>
  <si>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</si>
  <si>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</si>
  <si>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</si>
  <si>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</si>
  <si>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</si>
  <si>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</si>
  <si>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</si>
  <si>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2"/>
  </si>
  <si>
    <t>ikosaki</t>
  </si>
  <si>
    <t>年</t>
    <rPh sb="0" eb="1">
      <t>トシ</t>
    </rPh>
    <phoneticPr fontId="14"/>
  </si>
  <si>
    <t>nen</t>
  </si>
  <si>
    <t>年月</t>
    <rPh sb="0" eb="2">
      <t>ネンゲツ</t>
    </rPh>
    <phoneticPr fontId="14"/>
  </si>
  <si>
    <t>nengetsu</t>
  </si>
  <si>
    <t>データ登録日</t>
    <rPh sb="3" eb="6">
      <t>トウロクビ</t>
    </rPh>
    <phoneticPr fontId="2"/>
  </si>
  <si>
    <t>YYYYMMDD（収載日）</t>
    <rPh sb="9" eb="11">
      <t>シュウサイ</t>
    </rPh>
    <rPh sb="11" eb="12">
      <t>ビ</t>
    </rPh>
    <phoneticPr fontId="2"/>
  </si>
  <si>
    <t>1：新規、2：変更、3：削除</t>
  </si>
  <si>
    <t>更新区分＝3に対し、移行先がある場合設定</t>
    <rPh sb="18" eb="20">
      <t>セッテイ</t>
    </rPh>
    <phoneticPr fontId="2"/>
  </si>
  <si>
    <t>施行日の（YYYY)</t>
  </si>
  <si>
    <t>施行日の（YYYYMM)</t>
  </si>
  <si>
    <t>バックアップ_医薬品ブランドマスタ</t>
    <phoneticPr fontId="8"/>
  </si>
  <si>
    <t>iyakuhin_brand_name</t>
  </si>
  <si>
    <t>医薬品ブランド日本語名</t>
  </si>
  <si>
    <t>バックアップ_医薬品一般名マスタ</t>
    <phoneticPr fontId="8"/>
  </si>
  <si>
    <t>iyakuhin_ippan_englishname</t>
  </si>
  <si>
    <t>バックアップ_医薬品販売会社マスタ</t>
    <phoneticPr fontId="8"/>
  </si>
  <si>
    <t>メーカコード</t>
  </si>
  <si>
    <t>maker_code</t>
  </si>
  <si>
    <t>メーカ名</t>
  </si>
  <si>
    <t>maker_name</t>
  </si>
  <si>
    <t>バックアップ_薬価マスタ</t>
    <phoneticPr fontId="8"/>
  </si>
  <si>
    <t>年度</t>
  </si>
  <si>
    <t>nendo</t>
  </si>
  <si>
    <t>YYYY</t>
  </si>
  <si>
    <t>yakko_bunrui1_name</t>
  </si>
  <si>
    <t>薬効分類1日本語名</t>
  </si>
  <si>
    <t>バックアップ_薬効ATC分類2マスタ</t>
    <phoneticPr fontId="8"/>
  </si>
  <si>
    <t>yakko_bunrui2_name</t>
  </si>
  <si>
    <t>薬効分類2日本語名</t>
  </si>
  <si>
    <t>バックアップ_薬効ATC分類3マスタ</t>
    <phoneticPr fontId="8"/>
  </si>
  <si>
    <t>yakko_bunrui3_name</t>
  </si>
  <si>
    <t>薬効分類3日本語名</t>
  </si>
  <si>
    <t>バックアップ_薬効ATC分類4マスタ</t>
    <phoneticPr fontId="8"/>
  </si>
  <si>
    <t>yakko_bunrui4_name</t>
  </si>
  <si>
    <t>薬効分類4日本語名</t>
  </si>
  <si>
    <t>バックアップ_薬効ATC分類5マスタ</t>
    <phoneticPr fontId="8"/>
  </si>
  <si>
    <t>yakko_bunrui5_name</t>
  </si>
  <si>
    <t>薬効分類5日本語名</t>
  </si>
  <si>
    <t>バックアップ_疾病マスタ</t>
    <phoneticPr fontId="8"/>
  </si>
  <si>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</si>
  <si>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</si>
  <si>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</si>
  <si>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</si>
  <si>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</si>
  <si>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</si>
  <si>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</si>
  <si>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</si>
  <si>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</si>
  <si>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</si>
  <si>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</si>
  <si>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</si>
  <si>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</si>
  <si>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</si>
  <si>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</si>
  <si>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</si>
  <si>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</si>
  <si>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</si>
  <si>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</si>
  <si>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</si>
  <si>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</si>
  <si>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</si>
  <si>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</si>
  <si>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</si>
  <si>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2"/>
  </si>
  <si>
    <t>dpc2_code</t>
  </si>
  <si>
    <t>バックアップ_DPC6桁マスタ</t>
    <phoneticPr fontId="8"/>
  </si>
  <si>
    <t>DPCコード4桁</t>
  </si>
  <si>
    <t>dpc4_code</t>
  </si>
  <si>
    <t>バックアップ_郵便番号マスタ</t>
    <phoneticPr fontId="8"/>
  </si>
  <si>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</si>
  <si>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</si>
  <si>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</si>
  <si>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</si>
  <si>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</si>
  <si>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</si>
  <si>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</si>
  <si>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</si>
  <si>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</si>
  <si>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</si>
  <si>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</si>
  <si>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</si>
  <si>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</si>
  <si>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</si>
  <si>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</si>
  <si>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</si>
  <si>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</si>
  <si>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</si>
  <si>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</si>
  <si>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</si>
  <si>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2"/>
  </si>
  <si>
    <t>バックアップ_特定機材マスタ</t>
    <phoneticPr fontId="8"/>
  </si>
  <si>
    <t>施行日</t>
  </si>
  <si>
    <t>tokutei_kizai_kingaku</t>
  </si>
  <si>
    <t>年</t>
  </si>
  <si>
    <t>1：抹消、3：新規、5：変更、9：廃止</t>
  </si>
  <si>
    <t>01_C2-01</t>
    <phoneticPr fontId="8"/>
  </si>
  <si>
    <t>医科レセプト_医療機関情報レコード_結合</t>
    <rPh sb="0" eb="2">
      <t>イカ</t>
    </rPh>
    <rPh sb="7" eb="9">
      <t>イリョウ</t>
    </rPh>
    <rPh sb="9" eb="11">
      <t>キカン</t>
    </rPh>
    <rPh sb="11" eb="13">
      <t>ジョウホウ</t>
    </rPh>
    <rPh sb="18" eb="20">
      <t>ケツゴウ</t>
    </rPh>
    <phoneticPr fontId="11"/>
  </si>
  <si>
    <t>01_C2-02</t>
    <phoneticPr fontId="8"/>
  </si>
  <si>
    <t>医科レセプト_レセプト共通レコード_結合</t>
    <rPh sb="18" eb="20">
      <t>ケツゴウ</t>
    </rPh>
    <phoneticPr fontId="11"/>
  </si>
  <si>
    <t>01_C2-06</t>
    <phoneticPr fontId="8"/>
  </si>
  <si>
    <t>医科レセプト_傷病名レコード_結合</t>
    <rPh sb="15" eb="17">
      <t>ケツゴウ</t>
    </rPh>
    <phoneticPr fontId="11"/>
  </si>
  <si>
    <t>01_C2-07</t>
    <phoneticPr fontId="8"/>
  </si>
  <si>
    <t>医科レセプト_診療行為レコード_結合</t>
    <rPh sb="16" eb="18">
      <t>ケツゴウ</t>
    </rPh>
    <phoneticPr fontId="11"/>
  </si>
  <si>
    <t>01_C2-08</t>
    <phoneticPr fontId="8"/>
  </si>
  <si>
    <t>医科レセプト_診療行為レコード_算定日情報_結合</t>
    <rPh sb="22" eb="24">
      <t>ケツゴウ</t>
    </rPh>
    <phoneticPr fontId="11"/>
  </si>
  <si>
    <t>01_C2-09</t>
    <phoneticPr fontId="8"/>
  </si>
  <si>
    <t>医科レセプト_医薬品レコード_結合</t>
    <rPh sb="15" eb="17">
      <t>ケツゴウ</t>
    </rPh>
    <phoneticPr fontId="11"/>
  </si>
  <si>
    <t>01_C2-10</t>
    <phoneticPr fontId="8"/>
  </si>
  <si>
    <t>医科レセプト_医薬品レコード_算定日情報_結合</t>
    <rPh sb="21" eb="23">
      <t>ケツゴウ</t>
    </rPh>
    <phoneticPr fontId="11"/>
  </si>
  <si>
    <t>01_C2-16</t>
    <phoneticPr fontId="8"/>
  </si>
  <si>
    <t>医科レセプト_臓器提供者レセプト情報レコード_結合</t>
    <rPh sb="23" eb="25">
      <t>ケツゴウ</t>
    </rPh>
    <phoneticPr fontId="11"/>
  </si>
  <si>
    <t>01_C3-01</t>
    <phoneticPr fontId="8"/>
  </si>
  <si>
    <t>DPCレセプト_医療機関情報レコード_結合</t>
    <rPh sb="19" eb="21">
      <t>ケツゴウ</t>
    </rPh>
    <phoneticPr fontId="11"/>
  </si>
  <si>
    <t>01_C3-02</t>
    <phoneticPr fontId="8"/>
  </si>
  <si>
    <t>DPCレセプト_レセプト共通レコード_結合</t>
    <rPh sb="19" eb="21">
      <t>ケツゴウ</t>
    </rPh>
    <phoneticPr fontId="11"/>
  </si>
  <si>
    <t>01_C3-08</t>
    <phoneticPr fontId="8"/>
  </si>
  <si>
    <t>DPCレセプト_診断群分類レコード_結合</t>
    <rPh sb="18" eb="20">
      <t>ケツゴウ</t>
    </rPh>
    <phoneticPr fontId="11"/>
  </si>
  <si>
    <t>01_C3-09</t>
    <phoneticPr fontId="8"/>
  </si>
  <si>
    <t>DPCレセプト_傷病レコード_結合</t>
    <rPh sb="15" eb="17">
      <t>ケツゴウ</t>
    </rPh>
    <phoneticPr fontId="11"/>
  </si>
  <si>
    <t>01_C3-10</t>
    <phoneticPr fontId="8"/>
  </si>
  <si>
    <t>DPCレセプト_傷病名レコード_結合</t>
    <rPh sb="16" eb="18">
      <t>ケツゴウ</t>
    </rPh>
    <phoneticPr fontId="11"/>
  </si>
  <si>
    <t>01_C3-16</t>
    <phoneticPr fontId="8"/>
  </si>
  <si>
    <t>DPCレセプト_診療行為レコード_結合</t>
    <rPh sb="17" eb="19">
      <t>ケツゴウ</t>
    </rPh>
    <phoneticPr fontId="11"/>
  </si>
  <si>
    <t>01_C3-17</t>
    <phoneticPr fontId="8"/>
  </si>
  <si>
    <t>DPCレセプト_診療行為レコード_算定日情報_結合</t>
    <rPh sb="23" eb="25">
      <t>ケツゴウ</t>
    </rPh>
    <phoneticPr fontId="11"/>
  </si>
  <si>
    <t>01_C3-18</t>
    <phoneticPr fontId="8"/>
  </si>
  <si>
    <t>DPCレセプト_医薬品レコード_結合</t>
    <rPh sb="16" eb="18">
      <t>ケツゴウ</t>
    </rPh>
    <phoneticPr fontId="11"/>
  </si>
  <si>
    <t>01_C3-19</t>
    <phoneticPr fontId="8"/>
  </si>
  <si>
    <t>DPCレセプト_医薬品レコード_算定日情報_結合</t>
    <rPh sb="22" eb="24">
      <t>ケツゴウ</t>
    </rPh>
    <phoneticPr fontId="11"/>
  </si>
  <si>
    <t>01_C3-24</t>
    <phoneticPr fontId="8"/>
  </si>
  <si>
    <t>DPCレセプト_臓器提供者レセプト情報レコード_結合</t>
    <rPh sb="24" eb="26">
      <t>ケツゴウ</t>
    </rPh>
    <phoneticPr fontId="11"/>
  </si>
  <si>
    <t>01_C4-01</t>
    <phoneticPr fontId="8"/>
  </si>
  <si>
    <t>患者情報モジュール_患者情報_結合</t>
    <rPh sb="15" eb="17">
      <t>ケツゴウ</t>
    </rPh>
    <phoneticPr fontId="11"/>
  </si>
  <si>
    <t>01_C4-03</t>
    <phoneticPr fontId="8"/>
  </si>
  <si>
    <t>診断履歴情報モジュール_診断履歴情報レコード_結合</t>
    <rPh sb="23" eb="25">
      <t>ケツゴウ</t>
    </rPh>
    <phoneticPr fontId="11"/>
  </si>
  <si>
    <t>01_C4-04</t>
    <phoneticPr fontId="8"/>
  </si>
  <si>
    <t>診断履歴情報モジュール_診断病名レコード_結合</t>
    <rPh sb="21" eb="23">
      <t>ケツゴウ</t>
    </rPh>
    <phoneticPr fontId="11"/>
  </si>
  <si>
    <t>01_C4-05</t>
    <phoneticPr fontId="8"/>
  </si>
  <si>
    <t>診断履歴情報モジュール_診断分類レコード_結合</t>
    <rPh sb="21" eb="23">
      <t>ケツゴウ</t>
    </rPh>
    <phoneticPr fontId="11"/>
  </si>
  <si>
    <t>01_C4-06</t>
    <phoneticPr fontId="8"/>
  </si>
  <si>
    <t>経過記録情報モジュール_経過記録情報レコード_結合</t>
    <rPh sb="23" eb="25">
      <t>ケツゴウ</t>
    </rPh>
    <phoneticPr fontId="11"/>
  </si>
  <si>
    <t>01_C4-07</t>
    <phoneticPr fontId="8"/>
  </si>
  <si>
    <t>経過記録情報モジュール_プロブレムレコード_結合</t>
    <rPh sb="22" eb="24">
      <t>ケツゴウ</t>
    </rPh>
    <phoneticPr fontId="11"/>
  </si>
  <si>
    <t>01_C4-08</t>
    <phoneticPr fontId="8"/>
  </si>
  <si>
    <t>経過記録情報モジュール_身体所見レコード_結合</t>
    <rPh sb="21" eb="23">
      <t>ケツゴウ</t>
    </rPh>
    <phoneticPr fontId="11"/>
  </si>
  <si>
    <t>01_C4-15</t>
    <phoneticPr fontId="8"/>
  </si>
  <si>
    <t>経過記録情報モジュール_アセスメントレコード_結合</t>
    <rPh sb="23" eb="25">
      <t>ケツゴウ</t>
    </rPh>
    <phoneticPr fontId="11"/>
  </si>
  <si>
    <t>01_C4-22</t>
    <phoneticPr fontId="8"/>
  </si>
  <si>
    <t>経過記録情報モジュール_外部参照レコード_結合</t>
    <rPh sb="21" eb="23">
      <t>ケツゴウ</t>
    </rPh>
    <phoneticPr fontId="11"/>
  </si>
  <si>
    <t>01_C4-23</t>
    <phoneticPr fontId="8"/>
  </si>
  <si>
    <t>臨床サマリーモジュール_臨床サマリー情報レコード_結合</t>
    <rPh sb="25" eb="27">
      <t>ケツゴウ</t>
    </rPh>
    <phoneticPr fontId="11"/>
  </si>
  <si>
    <t>01_C4-24</t>
    <phoneticPr fontId="8"/>
  </si>
  <si>
    <t>臨床サマリーモジュール_外来受診レコード_結合</t>
    <rPh sb="21" eb="23">
      <t>ケツゴウ</t>
    </rPh>
    <phoneticPr fontId="11"/>
  </si>
  <si>
    <t>01_C4-25</t>
    <phoneticPr fontId="8"/>
  </si>
  <si>
    <t>臨床サマリーモジュール_入院レコード_結合</t>
    <rPh sb="19" eb="21">
      <t>ケツゴウ</t>
    </rPh>
    <phoneticPr fontId="11"/>
  </si>
  <si>
    <t>01_C4-29</t>
    <phoneticPr fontId="8"/>
  </si>
  <si>
    <t>臨床サマリーモジュール_経過記録レコード_結合</t>
    <rPh sb="21" eb="23">
      <t>ケツゴウ</t>
    </rPh>
    <phoneticPr fontId="11"/>
  </si>
  <si>
    <t>01_C4-30</t>
    <phoneticPr fontId="8"/>
  </si>
  <si>
    <t>臨床サマリーモジュール_検査結果レコード_結合</t>
    <rPh sb="21" eb="23">
      <t>ケツゴウ</t>
    </rPh>
    <phoneticPr fontId="11"/>
  </si>
  <si>
    <t>01_C4-31</t>
    <phoneticPr fontId="8"/>
  </si>
  <si>
    <t>検歴情報モジュール_検歴情報_結合</t>
    <rPh sb="15" eb="17">
      <t>ケツゴウ</t>
    </rPh>
    <phoneticPr fontId="11"/>
  </si>
  <si>
    <t>01_C4-33</t>
    <phoneticPr fontId="8"/>
  </si>
  <si>
    <t>検歴情報モジュール_検歴検体材料_結合</t>
    <rPh sb="17" eb="19">
      <t>ケツゴウ</t>
    </rPh>
    <phoneticPr fontId="11"/>
  </si>
  <si>
    <t>01_C4-35</t>
    <phoneticPr fontId="8"/>
  </si>
  <si>
    <t>検歴情報モジュール_検歴項目情報_結合</t>
    <rPh sb="17" eb="19">
      <t>ケツゴウ</t>
    </rPh>
    <phoneticPr fontId="11"/>
  </si>
  <si>
    <t>01_C4-37</t>
    <phoneticPr fontId="8"/>
  </si>
  <si>
    <t>バイタルサインモジュール_バイタルサイン_結合</t>
    <rPh sb="21" eb="23">
      <t>ケツゴウ</t>
    </rPh>
    <phoneticPr fontId="11"/>
  </si>
  <si>
    <t>01_C4-38</t>
    <phoneticPr fontId="8"/>
  </si>
  <si>
    <t>バイタルサインモジュール_記録項目_結合</t>
    <rPh sb="18" eb="20">
      <t>ケツゴウ</t>
    </rPh>
    <phoneticPr fontId="11"/>
  </si>
  <si>
    <t>01_C4-40</t>
    <phoneticPr fontId="8"/>
  </si>
  <si>
    <t>体温表モジュール_バイタルサイン_結合</t>
    <rPh sb="17" eb="19">
      <t>ケツゴウ</t>
    </rPh>
    <phoneticPr fontId="11"/>
  </si>
  <si>
    <t>01_C4-41</t>
    <phoneticPr fontId="8"/>
  </si>
  <si>
    <t>体温表モジュール_記録項目_結合</t>
    <rPh sb="14" eb="16">
      <t>ケツゴウ</t>
    </rPh>
    <phoneticPr fontId="11"/>
  </si>
  <si>
    <t>01_A1-02</t>
    <phoneticPr fontId="8"/>
  </si>
  <si>
    <t>01_A1-03</t>
    <phoneticPr fontId="8"/>
  </si>
  <si>
    <t>診療行為データ</t>
    <phoneticPr fontId="11"/>
  </si>
  <si>
    <t>処方データ</t>
    <phoneticPr fontId="11"/>
  </si>
  <si>
    <t>01_A1-04</t>
    <phoneticPr fontId="8"/>
  </si>
  <si>
    <t>疾患データ</t>
    <phoneticPr fontId="11"/>
  </si>
  <si>
    <t>01_A1-05</t>
    <phoneticPr fontId="8"/>
  </si>
  <si>
    <t>疾患診療科データ</t>
    <phoneticPr fontId="11"/>
  </si>
  <si>
    <t>01_A1-06</t>
    <phoneticPr fontId="8"/>
  </si>
  <si>
    <t>入院退院データ</t>
    <phoneticPr fontId="11"/>
  </si>
  <si>
    <t>01_A1-07</t>
    <phoneticPr fontId="8"/>
  </si>
  <si>
    <t>二次利用DB登録患者データ</t>
    <phoneticPr fontId="11"/>
  </si>
  <si>
    <t>01_A1-08</t>
    <phoneticPr fontId="8"/>
  </si>
  <si>
    <t>二次利用DB登録患者データ_DPC</t>
    <phoneticPr fontId="11"/>
  </si>
  <si>
    <t>01_A1-09</t>
    <phoneticPr fontId="8"/>
  </si>
  <si>
    <t>二次利用DB登録患者データ_レセプト</t>
    <phoneticPr fontId="11"/>
  </si>
  <si>
    <t>01_A1-10</t>
    <phoneticPr fontId="8"/>
  </si>
  <si>
    <t>二次利用DB登録患者データ_MML</t>
    <phoneticPr fontId="11"/>
  </si>
  <si>
    <t>01_A1-11</t>
    <phoneticPr fontId="8"/>
  </si>
  <si>
    <t>二次利用DB登録患者紐付けデータ</t>
    <phoneticPr fontId="11"/>
  </si>
  <si>
    <t>01_A1-13</t>
    <phoneticPr fontId="8"/>
  </si>
  <si>
    <t>エラー患者データ</t>
    <phoneticPr fontId="11"/>
  </si>
  <si>
    <t>01_A1-14</t>
    <phoneticPr fontId="8"/>
  </si>
  <si>
    <t>患者基本データ</t>
    <phoneticPr fontId="11"/>
  </si>
  <si>
    <t>01_A3-02</t>
    <phoneticPr fontId="8"/>
  </si>
  <si>
    <t>施設属性マスタ取込用</t>
    <rPh sb="0" eb="2">
      <t>シセツ</t>
    </rPh>
    <rPh sb="2" eb="4">
      <t>ゾクセイ</t>
    </rPh>
    <rPh sb="7" eb="9">
      <t>トリコミ</t>
    </rPh>
    <rPh sb="9" eb="10">
      <t>ヨウ</t>
    </rPh>
    <phoneticPr fontId="11"/>
  </si>
  <si>
    <t>01_A3-03</t>
    <phoneticPr fontId="8"/>
  </si>
  <si>
    <t>二次医療圏マスタ取込用</t>
    <rPh sb="0" eb="2">
      <t>ニジ</t>
    </rPh>
    <rPh sb="2" eb="4">
      <t>イリョウ</t>
    </rPh>
    <rPh sb="4" eb="5">
      <t>ケン</t>
    </rPh>
    <rPh sb="8" eb="10">
      <t>トリコミ</t>
    </rPh>
    <rPh sb="10" eb="11">
      <t>ヨウ</t>
    </rPh>
    <phoneticPr fontId="11"/>
  </si>
  <si>
    <t>01_A3-04</t>
    <phoneticPr fontId="8"/>
  </si>
  <si>
    <t>新旧医薬品コードマスタ取込用</t>
    <rPh sb="0" eb="2">
      <t>シンキュウ</t>
    </rPh>
    <rPh sb="2" eb="5">
      <t>イヤクヒン</t>
    </rPh>
    <rPh sb="11" eb="13">
      <t>トリコミ</t>
    </rPh>
    <rPh sb="13" eb="14">
      <t>ヨウ</t>
    </rPh>
    <phoneticPr fontId="11"/>
  </si>
  <si>
    <t>01_A3-05</t>
    <phoneticPr fontId="8"/>
  </si>
  <si>
    <t>DPC6ICD10対応表マスタ取込用</t>
    <rPh sb="9" eb="11">
      <t>タイオウ</t>
    </rPh>
    <rPh sb="11" eb="12">
      <t>ヒョウ</t>
    </rPh>
    <rPh sb="15" eb="17">
      <t>トリコミ</t>
    </rPh>
    <rPh sb="17" eb="18">
      <t>ヨウ</t>
    </rPh>
    <phoneticPr fontId="11"/>
  </si>
  <si>
    <t>01_A3-06</t>
    <phoneticPr fontId="8"/>
  </si>
  <si>
    <t>修飾語マスタ取込用</t>
    <rPh sb="0" eb="3">
      <t>シュウショクゴ</t>
    </rPh>
    <rPh sb="6" eb="8">
      <t>トリコミ</t>
    </rPh>
    <rPh sb="8" eb="9">
      <t>ヨウ</t>
    </rPh>
    <phoneticPr fontId="11"/>
  </si>
  <si>
    <t>01_A3-07</t>
    <phoneticPr fontId="8"/>
  </si>
  <si>
    <t>コメントマスタ取込用</t>
    <rPh sb="7" eb="9">
      <t>トリコミ</t>
    </rPh>
    <rPh sb="9" eb="10">
      <t>ヨウ</t>
    </rPh>
    <phoneticPr fontId="11"/>
  </si>
  <si>
    <t>01_A3-08</t>
    <phoneticPr fontId="8"/>
  </si>
  <si>
    <t>成分量マスタ取込用</t>
    <rPh sb="0" eb="2">
      <t>セイブン</t>
    </rPh>
    <rPh sb="2" eb="3">
      <t>リョウ</t>
    </rPh>
    <rPh sb="6" eb="8">
      <t>トリコミ</t>
    </rPh>
    <rPh sb="8" eb="9">
      <t>ヨウ</t>
    </rPh>
    <phoneticPr fontId="11"/>
  </si>
  <si>
    <t>01_A3-09</t>
    <phoneticPr fontId="8"/>
  </si>
  <si>
    <t>成分名マスタ取込用</t>
    <phoneticPr fontId="11"/>
  </si>
  <si>
    <t>01_A3-10</t>
    <phoneticPr fontId="8"/>
  </si>
  <si>
    <t>単位マスタ取込用</t>
    <phoneticPr fontId="11"/>
  </si>
  <si>
    <t>01_A3-11</t>
    <phoneticPr fontId="8"/>
  </si>
  <si>
    <t>適応病名レセ病名組み合わせ関係リンクマスタ取込用</t>
    <phoneticPr fontId="11"/>
  </si>
  <si>
    <t>01_A3-12</t>
    <phoneticPr fontId="8"/>
  </si>
  <si>
    <t>適応病名レセ病名組み合わせ関係リンク親子マスタ取込用</t>
    <phoneticPr fontId="11"/>
  </si>
  <si>
    <t>01_A3-13</t>
    <phoneticPr fontId="8"/>
  </si>
  <si>
    <t>適用病名マスタ取込用</t>
    <phoneticPr fontId="11"/>
  </si>
  <si>
    <t>01_A3-14</t>
    <phoneticPr fontId="8"/>
  </si>
  <si>
    <t>ＹＪコード医薬品コードリンクマスタ取込用</t>
    <phoneticPr fontId="11"/>
  </si>
  <si>
    <t>01_A3-15</t>
    <phoneticPr fontId="8"/>
  </si>
  <si>
    <t>診療行為付加情報マスタ取込用</t>
    <phoneticPr fontId="11"/>
  </si>
  <si>
    <t>01_A3-16</t>
    <phoneticPr fontId="8"/>
  </si>
  <si>
    <t>処理対象施設マスタ</t>
    <phoneticPr fontId="11"/>
  </si>
  <si>
    <t>01_A3-17</t>
    <phoneticPr fontId="8"/>
  </si>
  <si>
    <t>処理対象施設マスタ管理</t>
    <phoneticPr fontId="11"/>
  </si>
  <si>
    <t>01_A3-18</t>
    <phoneticPr fontId="8"/>
  </si>
  <si>
    <t>医薬品マスタ</t>
    <phoneticPr fontId="11"/>
  </si>
  <si>
    <t>01_A3-19</t>
    <phoneticPr fontId="8"/>
  </si>
  <si>
    <t>医薬品ブランドマスタ</t>
    <phoneticPr fontId="11"/>
  </si>
  <si>
    <t>01_A3-20</t>
    <phoneticPr fontId="8"/>
  </si>
  <si>
    <t>医薬品一般名マスタ</t>
    <phoneticPr fontId="11"/>
  </si>
  <si>
    <t>01_A3-21</t>
    <phoneticPr fontId="8"/>
  </si>
  <si>
    <t>医薬品販売会社マスタ</t>
    <phoneticPr fontId="11"/>
  </si>
  <si>
    <t>01_A3-22</t>
    <phoneticPr fontId="8"/>
  </si>
  <si>
    <t>メーカマスタ</t>
    <phoneticPr fontId="11"/>
  </si>
  <si>
    <t>01_A3-23</t>
    <phoneticPr fontId="8"/>
  </si>
  <si>
    <t>薬価マスタ</t>
    <phoneticPr fontId="11"/>
  </si>
  <si>
    <t>01_A3-24</t>
    <phoneticPr fontId="8"/>
  </si>
  <si>
    <t>薬効ATC分類1マスタ</t>
    <phoneticPr fontId="11"/>
  </si>
  <si>
    <t>01_A3-25</t>
    <phoneticPr fontId="8"/>
  </si>
  <si>
    <t>薬効ATC分類2マスタ</t>
    <phoneticPr fontId="11"/>
  </si>
  <si>
    <t>01_A3-26</t>
    <phoneticPr fontId="8"/>
  </si>
  <si>
    <t>薬効ATC分類3マスタ</t>
    <phoneticPr fontId="11"/>
  </si>
  <si>
    <t>01_A3-27</t>
    <phoneticPr fontId="8"/>
  </si>
  <si>
    <t>薬効ATC分類4マスタ</t>
    <phoneticPr fontId="11"/>
  </si>
  <si>
    <t>01_A3-28</t>
    <phoneticPr fontId="8"/>
  </si>
  <si>
    <t>薬効ATC分類5マスタ</t>
    <phoneticPr fontId="11"/>
  </si>
  <si>
    <t>01_A3-29</t>
    <phoneticPr fontId="8"/>
  </si>
  <si>
    <t>疾病マスタ</t>
    <phoneticPr fontId="11"/>
  </si>
  <si>
    <t>01_A3-30</t>
    <phoneticPr fontId="8"/>
  </si>
  <si>
    <t>ICD10大分類マスタ</t>
    <phoneticPr fontId="11"/>
  </si>
  <si>
    <t>01_A3-31</t>
    <phoneticPr fontId="8"/>
  </si>
  <si>
    <t>ICD10中分類マスタ</t>
    <phoneticPr fontId="11"/>
  </si>
  <si>
    <t>01_A3-32</t>
    <phoneticPr fontId="8"/>
  </si>
  <si>
    <t>ICD10小分類マスタ</t>
    <phoneticPr fontId="11"/>
  </si>
  <si>
    <t>01_A3-33</t>
    <phoneticPr fontId="8"/>
  </si>
  <si>
    <t>ICD10細分類マスタ</t>
    <phoneticPr fontId="11"/>
  </si>
  <si>
    <t>01_A3-34</t>
    <phoneticPr fontId="8"/>
  </si>
  <si>
    <t>DPC2桁マスタ</t>
    <phoneticPr fontId="11"/>
  </si>
  <si>
    <t>01_A3-35</t>
    <phoneticPr fontId="8"/>
  </si>
  <si>
    <t>DPC6桁マスタ</t>
    <phoneticPr fontId="11"/>
  </si>
  <si>
    <t>01_A3-36</t>
    <phoneticPr fontId="8"/>
  </si>
  <si>
    <t>郵便番号マスタ</t>
    <phoneticPr fontId="11"/>
  </si>
  <si>
    <t>01_A3-37</t>
    <phoneticPr fontId="8"/>
  </si>
  <si>
    <t>特定機材マスタ</t>
    <phoneticPr fontId="11"/>
  </si>
  <si>
    <t>01_A4-01</t>
    <phoneticPr fontId="8"/>
  </si>
  <si>
    <t>年度マスタ</t>
    <phoneticPr fontId="11"/>
  </si>
  <si>
    <t>01_A4-02</t>
    <phoneticPr fontId="8"/>
  </si>
  <si>
    <t>都道府県地方コードマスタ</t>
    <phoneticPr fontId="11"/>
  </si>
  <si>
    <t>01_A4-03</t>
    <phoneticPr fontId="8"/>
  </si>
  <si>
    <t>施設属性マスタ</t>
    <phoneticPr fontId="11"/>
  </si>
  <si>
    <t>01_A4-04</t>
    <phoneticPr fontId="8"/>
  </si>
  <si>
    <t>二次医療圏マスタ</t>
    <phoneticPr fontId="11"/>
  </si>
  <si>
    <t>01_A4-05</t>
    <phoneticPr fontId="8"/>
  </si>
  <si>
    <t>施設ID対応マスタ</t>
    <phoneticPr fontId="11"/>
  </si>
  <si>
    <t>01_A4-07</t>
    <phoneticPr fontId="8"/>
  </si>
  <si>
    <t>医薬品関連マスタ</t>
    <phoneticPr fontId="11"/>
  </si>
  <si>
    <t>01_A4-08</t>
    <phoneticPr fontId="8"/>
  </si>
  <si>
    <t>薬価関連マスタ</t>
    <phoneticPr fontId="11"/>
  </si>
  <si>
    <t>01_A4-09</t>
    <phoneticPr fontId="8"/>
  </si>
  <si>
    <t>診療行為関連マスタ</t>
    <phoneticPr fontId="11"/>
  </si>
  <si>
    <t>01_A4-10</t>
    <phoneticPr fontId="8"/>
  </si>
  <si>
    <t>特定器材関連マスタ</t>
    <phoneticPr fontId="11"/>
  </si>
  <si>
    <t>01_A4-11</t>
    <phoneticPr fontId="8"/>
  </si>
  <si>
    <t>DPC関連マスタ</t>
    <phoneticPr fontId="11"/>
  </si>
  <si>
    <t>01_A4-12</t>
    <phoneticPr fontId="8"/>
  </si>
  <si>
    <t>疾患関連マスタ</t>
    <phoneticPr fontId="11"/>
  </si>
  <si>
    <t>01_A4-13</t>
    <phoneticPr fontId="8"/>
  </si>
  <si>
    <t>医薬品成分関連マスタ</t>
    <phoneticPr fontId="11"/>
  </si>
  <si>
    <t>01_A4-14</t>
    <phoneticPr fontId="8"/>
  </si>
  <si>
    <t>医薬品適用病名関連マスタ</t>
    <phoneticPr fontId="11"/>
  </si>
  <si>
    <t>01_A6-02</t>
    <phoneticPr fontId="8"/>
  </si>
  <si>
    <t>MML共通</t>
    <rPh sb="3" eb="5">
      <t>キョウツウ</t>
    </rPh>
    <phoneticPr fontId="11"/>
  </si>
  <si>
    <t>01_A6-03</t>
    <phoneticPr fontId="8"/>
  </si>
  <si>
    <t>MML_診断履歴情報モジュール_本文</t>
    <rPh sb="4" eb="6">
      <t>シンダン</t>
    </rPh>
    <rPh sb="6" eb="8">
      <t>リレキ</t>
    </rPh>
    <rPh sb="8" eb="10">
      <t>ジョウホウ</t>
    </rPh>
    <rPh sb="16" eb="18">
      <t>ホンブン</t>
    </rPh>
    <phoneticPr fontId="11"/>
  </si>
  <si>
    <t>01_A6-04</t>
    <phoneticPr fontId="8"/>
  </si>
  <si>
    <t>MML_診断履歴情報モジュール_病名</t>
    <rPh sb="4" eb="6">
      <t>シンダン</t>
    </rPh>
    <rPh sb="6" eb="8">
      <t>リレキ</t>
    </rPh>
    <rPh sb="8" eb="10">
      <t>ジョウホウ</t>
    </rPh>
    <rPh sb="16" eb="18">
      <t>ビョウメイ</t>
    </rPh>
    <phoneticPr fontId="11"/>
  </si>
  <si>
    <t>01_A6-05</t>
    <phoneticPr fontId="8"/>
  </si>
  <si>
    <t>MML_診断履歴情報モジュール_カテゴリ名</t>
    <rPh sb="4" eb="6">
      <t>シンダン</t>
    </rPh>
    <rPh sb="6" eb="8">
      <t>リレキ</t>
    </rPh>
    <rPh sb="8" eb="10">
      <t>ジョウホウ</t>
    </rPh>
    <rPh sb="20" eb="21">
      <t>メイ</t>
    </rPh>
    <phoneticPr fontId="11"/>
  </si>
  <si>
    <t>01_A6-24</t>
    <phoneticPr fontId="8"/>
  </si>
  <si>
    <t>MML_処方箋モジュール_本文</t>
    <rPh sb="4" eb="7">
      <t>ショホウセン</t>
    </rPh>
    <rPh sb="13" eb="15">
      <t>ホンブン</t>
    </rPh>
    <phoneticPr fontId="11"/>
  </si>
  <si>
    <t>01_A6-25</t>
    <phoneticPr fontId="8"/>
  </si>
  <si>
    <t>MML_処方箋モジュール_投薬</t>
    <rPh sb="4" eb="7">
      <t>ショホウセン</t>
    </rPh>
    <rPh sb="13" eb="15">
      <t>トウヤク</t>
    </rPh>
    <phoneticPr fontId="11"/>
  </si>
  <si>
    <t>01_A6-26</t>
    <phoneticPr fontId="8"/>
  </si>
  <si>
    <t>MML_処方箋モジュール_薬剤</t>
    <phoneticPr fontId="11"/>
  </si>
  <si>
    <t>01_A6-27</t>
    <phoneticPr fontId="8"/>
  </si>
  <si>
    <t>MML_注射記録モジュール_本文</t>
    <phoneticPr fontId="11"/>
  </si>
  <si>
    <t>01_A6-28</t>
    <phoneticPr fontId="8"/>
  </si>
  <si>
    <t>MML_注射記録モジュール_投薬</t>
    <phoneticPr fontId="11"/>
  </si>
  <si>
    <t>01_A6-29</t>
    <phoneticPr fontId="8"/>
  </si>
  <si>
    <t>MML_注射記録モジュール_薬剤</t>
    <phoneticPr fontId="11"/>
  </si>
  <si>
    <t>01_A6-42</t>
    <phoneticPr fontId="8"/>
  </si>
  <si>
    <t>MML_手術モジュール_手術項目</t>
    <phoneticPr fontId="11"/>
  </si>
  <si>
    <t>01_A6-43</t>
    <phoneticPr fontId="8"/>
  </si>
  <si>
    <t>MML_手術モジュール_診療科情報</t>
    <phoneticPr fontId="11"/>
  </si>
  <si>
    <t>01_A6-44</t>
    <phoneticPr fontId="8"/>
  </si>
  <si>
    <t>MML_手術モジュール_診断履歴情報</t>
    <phoneticPr fontId="11"/>
  </si>
  <si>
    <t>01_A6-45</t>
    <phoneticPr fontId="8"/>
  </si>
  <si>
    <t>MML_手術モジュール_病名</t>
    <phoneticPr fontId="11"/>
  </si>
  <si>
    <t>01_A6-46</t>
    <phoneticPr fontId="8"/>
  </si>
  <si>
    <t>MML_手術モジュール_カテゴリ名</t>
    <phoneticPr fontId="11"/>
  </si>
  <si>
    <t>01_A6-47</t>
    <phoneticPr fontId="8"/>
  </si>
  <si>
    <t>MML_手術モジュール_手術法</t>
    <phoneticPr fontId="11"/>
  </si>
  <si>
    <t>01_A6-48</t>
    <phoneticPr fontId="8"/>
  </si>
  <si>
    <t>MML_手術モジュール_手術要素</t>
    <phoneticPr fontId="11"/>
  </si>
  <si>
    <t>01_A6-49</t>
    <phoneticPr fontId="8"/>
  </si>
  <si>
    <t>MML_手術モジュール_麻酔法</t>
    <phoneticPr fontId="11"/>
  </si>
  <si>
    <t>01_A6-50</t>
    <phoneticPr fontId="8"/>
  </si>
  <si>
    <t>MML_報告書情報モジュール_本文</t>
    <phoneticPr fontId="11"/>
  </si>
  <si>
    <t>01_A6-51</t>
    <phoneticPr fontId="8"/>
  </si>
  <si>
    <t>MML_報告書情報モジュール_検査コメント</t>
    <phoneticPr fontId="11"/>
  </si>
  <si>
    <t>01_A6-52</t>
    <phoneticPr fontId="8"/>
  </si>
  <si>
    <t>MML_生活習慣情報モジュール_本文</t>
    <phoneticPr fontId="11"/>
  </si>
  <si>
    <t>01_A6-53</t>
    <phoneticPr fontId="8"/>
  </si>
  <si>
    <t>MML_紹介状モジュール_本文</t>
    <phoneticPr fontId="11"/>
  </si>
  <si>
    <t>01_A6-54</t>
    <phoneticPr fontId="8"/>
  </si>
  <si>
    <t>MML_紹介状モジュール_注射記録</t>
    <phoneticPr fontId="11"/>
  </si>
  <si>
    <t>01_A6-55</t>
    <phoneticPr fontId="8"/>
  </si>
  <si>
    <t>MML_紹介状モジュール_注射記録投薬</t>
    <phoneticPr fontId="11"/>
  </si>
  <si>
    <t>01_A6-56</t>
    <phoneticPr fontId="8"/>
  </si>
  <si>
    <t>MML_紹介状モジュール_注射記録薬剤</t>
    <phoneticPr fontId="11"/>
  </si>
  <si>
    <t>01_A6-57</t>
    <phoneticPr fontId="8"/>
  </si>
  <si>
    <t>MML_紹介状モジュール_患者情報</t>
    <phoneticPr fontId="11"/>
  </si>
  <si>
    <t>01_A6-58</t>
    <phoneticPr fontId="8"/>
  </si>
  <si>
    <t>MML_紹介状モジュール_患者情報住所</t>
    <phoneticPr fontId="11"/>
  </si>
  <si>
    <t>01_A6-59</t>
    <phoneticPr fontId="8"/>
  </si>
  <si>
    <t>MML_紹介状モジュール_処方箋</t>
    <phoneticPr fontId="11"/>
  </si>
  <si>
    <t>01_A6-60</t>
    <phoneticPr fontId="8"/>
  </si>
  <si>
    <t>MML_紹介状モジュール_処方箋投薬</t>
    <phoneticPr fontId="11"/>
  </si>
  <si>
    <t>01_A6-61</t>
    <phoneticPr fontId="8"/>
  </si>
  <si>
    <t>MML_紹介状モジュール_処方箋薬剤</t>
    <phoneticPr fontId="11"/>
  </si>
  <si>
    <t>01_A6-62</t>
    <phoneticPr fontId="8"/>
  </si>
  <si>
    <t>MML_紹介状モジュール_臨床サマリー情報経過記録</t>
    <phoneticPr fontId="11"/>
  </si>
  <si>
    <t>01_A6-63</t>
    <phoneticPr fontId="8"/>
  </si>
  <si>
    <t>MML_紹介状モジュール_診療科情報</t>
    <phoneticPr fontId="11"/>
  </si>
  <si>
    <t>最新施設情報ビュー</t>
    <rPh sb="0" eb="4">
      <t>サイシンシセツ</t>
    </rPh>
    <rPh sb="4" eb="6">
      <t>ジョウホウ</t>
    </rPh>
    <phoneticPr fontId="8"/>
  </si>
  <si>
    <t>最新施設情報ビュー</t>
    <rPh sb="0" eb="6">
      <t>サイシンシセツジョウホウ</t>
    </rPh>
    <phoneticPr fontId="8"/>
  </si>
  <si>
    <t>組入れ_対象施設</t>
    <rPh sb="4" eb="6">
      <t>タイショウ</t>
    </rPh>
    <rPh sb="6" eb="8">
      <t>シセツ</t>
    </rPh>
    <phoneticPr fontId="8"/>
  </si>
  <si>
    <t>※フィージビリティ調査対象施設
＋名古屋第一という条件で再抽出する必要がある</t>
    <rPh sb="25" eb="27">
      <t>ジョウケン</t>
    </rPh>
    <rPh sb="28" eb="31">
      <t>サイチュウシュツ</t>
    </rPh>
    <rPh sb="33" eb="35">
      <t>ヒツヨウ</t>
    </rPh>
    <phoneticPr fontId="8"/>
  </si>
  <si>
    <t>バックアップ_処理対象施設マスタ管理</t>
    <rPh sb="7" eb="9">
      <t>ショリ</t>
    </rPh>
    <rPh sb="9" eb="11">
      <t>タイショウ</t>
    </rPh>
    <rPh sb="11" eb="13">
      <t>シセツ</t>
    </rPh>
    <rPh sb="16" eb="18">
      <t>カンリ</t>
    </rPh>
    <phoneticPr fontId="8"/>
  </si>
  <si>
    <t>組入れ_対象処方</t>
    <rPh sb="4" eb="6">
      <t>タイショウ</t>
    </rPh>
    <rPh sb="6" eb="8">
      <t>ショホウ</t>
    </rPh>
    <phoneticPr fontId="8"/>
  </si>
  <si>
    <t>バックアップ_処方データ_組み入れ第一条件</t>
    <phoneticPr fontId="8"/>
  </si>
  <si>
    <t>バックアップ_処方データ_組み入れ第一条件から診療年月が契約開始以降の対象処方を登録する。</t>
    <rPh sb="23" eb="25">
      <t>シンリョウ</t>
    </rPh>
    <rPh sb="25" eb="27">
      <t>ネンゲツ</t>
    </rPh>
    <rPh sb="28" eb="30">
      <t>ケイヤク</t>
    </rPh>
    <rPh sb="30" eb="32">
      <t>カイシ</t>
    </rPh>
    <rPh sb="32" eb="34">
      <t>イコウ</t>
    </rPh>
    <rPh sb="35" eb="37">
      <t>タイショウ</t>
    </rPh>
    <rPh sb="37" eb="39">
      <t>ショホウ</t>
    </rPh>
    <rPh sb="40" eb="42">
      <t>トウロク</t>
    </rPh>
    <phoneticPr fontId="8"/>
  </si>
  <si>
    <t>11_04</t>
    <phoneticPr fontId="8"/>
  </si>
  <si>
    <t>ENT_01_01</t>
    <phoneticPr fontId="8"/>
  </si>
  <si>
    <t>ENT_01_02</t>
    <phoneticPr fontId="8"/>
  </si>
  <si>
    <t>バックアップ_患者マスタ_組入れ第一条件</t>
    <rPh sb="7" eb="9">
      <t>カンジャ</t>
    </rPh>
    <phoneticPr fontId="8"/>
  </si>
  <si>
    <t>バックアップ_処方データ_組入れ第一条件</t>
    <phoneticPr fontId="8"/>
  </si>
  <si>
    <t>バックアップ_患者マスタ_組入れ第一条件</t>
    <phoneticPr fontId="8"/>
  </si>
  <si>
    <t>薬剤マスタ</t>
    <rPh sb="0" eb="2">
      <t>ヤクザイ</t>
    </rPh>
    <phoneticPr fontId="8"/>
  </si>
  <si>
    <t>MML薬剤マスタ</t>
    <rPh sb="3" eb="5">
      <t>ヤクザイ</t>
    </rPh>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</si>
  <si>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</si>
  <si>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</si>
  <si>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</si>
  <si>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</si>
  <si>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</si>
  <si>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</si>
  <si>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</si>
  <si>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</si>
  <si>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</si>
  <si>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</si>
  <si>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</si>
  <si>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</si>
  <si>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</si>
  <si>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</si>
  <si>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</si>
  <si>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</si>
  <si>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</si>
  <si>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</si>
  <si>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</si>
  <si>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</si>
  <si>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</si>
  <si>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</si>
  <si>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</si>
  <si>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</si>
  <si>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</si>
  <si>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作業フェーズID</t>
    <phoneticPr fontId="15"/>
  </si>
  <si>
    <t>作業フェーズ名</t>
    <phoneticPr fontId="8"/>
  </si>
  <si>
    <t>エンティティID</t>
    <phoneticPr fontId="8"/>
  </si>
  <si>
    <t>ベース_処方データ</t>
    <phoneticPr fontId="8"/>
  </si>
  <si>
    <t>ベース_診療行為データ</t>
    <phoneticPr fontId="8"/>
  </si>
  <si>
    <t>ベース_入院退院データ</t>
    <phoneticPr fontId="8"/>
  </si>
  <si>
    <t>ベース_患者基本データ</t>
    <phoneticPr fontId="8"/>
  </si>
  <si>
    <t>ベース_MML共通</t>
    <phoneticPr fontId="8"/>
  </si>
  <si>
    <t>ベース_MML_診断履歴情報モジュール_本文</t>
    <phoneticPr fontId="8"/>
  </si>
  <si>
    <t>ベース_MML_診断履歴情報モジュール_病名</t>
    <phoneticPr fontId="8"/>
  </si>
  <si>
    <t>ベース_MML_処方箋モジュール_本文</t>
    <phoneticPr fontId="8"/>
  </si>
  <si>
    <t>ベース_MML_処方箋モジュール_投薬</t>
    <phoneticPr fontId="8"/>
  </si>
  <si>
    <t>ベース_MML_処方箋モジュール_薬剤</t>
    <phoneticPr fontId="8"/>
  </si>
  <si>
    <t>ベース_DPC調査データ_入院EF統合ファイル</t>
    <phoneticPr fontId="8"/>
  </si>
  <si>
    <t>ベース_DPC調査データ_外来EF統合ファイル</t>
    <phoneticPr fontId="8"/>
  </si>
  <si>
    <t>ベース_DPC調査データ_様式1</t>
    <phoneticPr fontId="8"/>
  </si>
  <si>
    <t>ベース_DPC調査データ_様式1_診断情報_併存症</t>
    <phoneticPr fontId="8"/>
  </si>
  <si>
    <t>ベース_DPC調査データ_様式1_診断情報_続発症</t>
    <phoneticPr fontId="8"/>
  </si>
  <si>
    <t>ベース_診断履歴情報モジュール_診断履歴情報レコード</t>
    <phoneticPr fontId="8"/>
  </si>
  <si>
    <t>ベース_診断履歴情報モジュール_診断病名レコード</t>
    <phoneticPr fontId="8"/>
  </si>
  <si>
    <t>ベース_経過記録情報モジュール_経過記録情報レコード</t>
    <phoneticPr fontId="8"/>
  </si>
  <si>
    <t>ベース_経過記録情報モジュール_プロブレムレコード</t>
    <phoneticPr fontId="8"/>
  </si>
  <si>
    <t>ベース_経過記録情報モジュール_身体所見レコード</t>
    <phoneticPr fontId="8"/>
  </si>
  <si>
    <t>ベース_経過記録情報モジュール_アセスメントレコード</t>
    <phoneticPr fontId="8"/>
  </si>
  <si>
    <t>ベース_経過記録情報モジュール_外部参照レコード</t>
    <phoneticPr fontId="8"/>
  </si>
  <si>
    <t>ベース_臨床サマリーモジュール_臨床サマリー情報レコード</t>
    <phoneticPr fontId="8"/>
  </si>
  <si>
    <t>ベース_臨床サマリーモジュール_外来受診レコード</t>
    <phoneticPr fontId="8"/>
  </si>
  <si>
    <t>ベース_臨床サマリーモジュール_入院レコード</t>
    <phoneticPr fontId="8"/>
  </si>
  <si>
    <t>ベース_臨床サマリーモジュール_経過記録レコード</t>
    <phoneticPr fontId="8"/>
  </si>
  <si>
    <t>ベース_臨床サマリーモジュール_検査結果レコード</t>
    <phoneticPr fontId="8"/>
  </si>
  <si>
    <t>ベース_検歴情報モジュール_検歴情報</t>
    <phoneticPr fontId="8"/>
  </si>
  <si>
    <t>ベース_検歴情報モジュール_検歴検体材料</t>
    <phoneticPr fontId="8"/>
  </si>
  <si>
    <t>ベース_検歴情報モジュール_検歴項目情報</t>
    <phoneticPr fontId="8"/>
  </si>
  <si>
    <t>患者ID一覧マスタ</t>
    <rPh sb="0" eb="2">
      <t>カンジャ</t>
    </rPh>
    <rPh sb="4" eb="6">
      <t>イチラン</t>
    </rPh>
    <phoneticPr fontId="8"/>
  </si>
  <si>
    <t>31_C1-02</t>
  </si>
  <si>
    <t>31_C1-03</t>
  </si>
  <si>
    <t>31_C1-05</t>
  </si>
  <si>
    <t>31_C1-07</t>
  </si>
  <si>
    <t>31_C1-08</t>
  </si>
  <si>
    <t>患者ID一覧マスタ</t>
    <phoneticPr fontId="11"/>
  </si>
  <si>
    <t>バックアップ_処方データ</t>
    <phoneticPr fontId="8"/>
  </si>
  <si>
    <t>31_A1-02</t>
    <phoneticPr fontId="8"/>
  </si>
  <si>
    <t>バックアップ_診療行為データ</t>
    <phoneticPr fontId="8"/>
  </si>
  <si>
    <t>31_A1-03</t>
    <phoneticPr fontId="8"/>
  </si>
  <si>
    <t>31_A1-06</t>
    <phoneticPr fontId="8"/>
  </si>
  <si>
    <t>バックアップ_入院退院データ</t>
    <phoneticPr fontId="8"/>
  </si>
  <si>
    <t>31_A1-14</t>
    <phoneticPr fontId="8"/>
  </si>
  <si>
    <t>バックアップ_患者基本データ</t>
    <phoneticPr fontId="8"/>
  </si>
  <si>
    <t>バックアップ_MML共通</t>
    <phoneticPr fontId="8"/>
  </si>
  <si>
    <t>31_A6-02</t>
    <phoneticPr fontId="8"/>
  </si>
  <si>
    <t>バックアップ_MML_診断履歴情報モジュール_本文</t>
    <phoneticPr fontId="8"/>
  </si>
  <si>
    <t>31_A6-03</t>
    <phoneticPr fontId="8"/>
  </si>
  <si>
    <t>31_A6-04</t>
    <phoneticPr fontId="8"/>
  </si>
  <si>
    <t>バックアップ_MML_診断履歴情報モジュール_病名</t>
    <phoneticPr fontId="8"/>
  </si>
  <si>
    <t>31_A6-24</t>
    <phoneticPr fontId="8"/>
  </si>
  <si>
    <t>バックアップ_MML_処方箋モジュール_本文</t>
    <phoneticPr fontId="8"/>
  </si>
  <si>
    <t>31_A6-25</t>
    <phoneticPr fontId="8"/>
  </si>
  <si>
    <t>バックアップ_MML_処方箋モジュール_投薬</t>
    <phoneticPr fontId="8"/>
  </si>
  <si>
    <t>31_A6-26</t>
    <phoneticPr fontId="8"/>
  </si>
  <si>
    <t>バックアップ_MML_処方箋モジュール_薬剤</t>
    <rPh sb="20" eb="22">
      <t>ヤクザイ</t>
    </rPh>
    <phoneticPr fontId="8"/>
  </si>
  <si>
    <t>31_C4-04</t>
    <phoneticPr fontId="8"/>
  </si>
  <si>
    <t>31_C4-03</t>
    <phoneticPr fontId="8"/>
  </si>
  <si>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8"/>
  </si>
  <si>
    <t>バックアップ_診断履歴情報モジュール_診断病名レコード</t>
    <phoneticPr fontId="8"/>
  </si>
  <si>
    <t>バックアップ_経過記録情報モジュール_経過記録情報レコード</t>
    <phoneticPr fontId="8"/>
  </si>
  <si>
    <t>31_C4-06</t>
    <phoneticPr fontId="8"/>
  </si>
  <si>
    <t>31_C4-07</t>
    <phoneticPr fontId="8"/>
  </si>
  <si>
    <t>バックアップ_経過記録情報モジュール_プロブレムレコード</t>
    <phoneticPr fontId="8"/>
  </si>
  <si>
    <t>31_C4-08</t>
    <phoneticPr fontId="8"/>
  </si>
  <si>
    <t>バックアップ_経過記録情報モジュール_身体所見レコード</t>
    <phoneticPr fontId="8"/>
  </si>
  <si>
    <t>31_C4-15</t>
    <phoneticPr fontId="8"/>
  </si>
  <si>
    <t>バックアップ_経過記録情報モジュール_アセスメントレコード</t>
    <phoneticPr fontId="8"/>
  </si>
  <si>
    <t>31_C4-22</t>
    <phoneticPr fontId="8"/>
  </si>
  <si>
    <t>バックアップ_経過記録情報モジュール_外部参照レコード</t>
    <phoneticPr fontId="8"/>
  </si>
  <si>
    <t>31_C4-23</t>
    <phoneticPr fontId="8"/>
  </si>
  <si>
    <t>バックアップ_臨床サマリーモジュール_臨床サマリー情報レコード</t>
    <phoneticPr fontId="8"/>
  </si>
  <si>
    <t>31_C4-24</t>
    <phoneticPr fontId="8"/>
  </si>
  <si>
    <t>31_C4-25</t>
    <phoneticPr fontId="8"/>
  </si>
  <si>
    <t>31_C4-29</t>
    <phoneticPr fontId="8"/>
  </si>
  <si>
    <t>31_C4-30</t>
    <phoneticPr fontId="8"/>
  </si>
  <si>
    <t>31_C4-31</t>
    <phoneticPr fontId="8"/>
  </si>
  <si>
    <t>31_C4-33</t>
    <phoneticPr fontId="8"/>
  </si>
  <si>
    <t>31_C4-35</t>
    <phoneticPr fontId="8"/>
  </si>
  <si>
    <t>azn_202310</t>
    <phoneticPr fontId="8"/>
  </si>
  <si>
    <t>milscm_2023_010</t>
  </si>
  <si>
    <t>milscm_2023_010</t>
    <phoneticPr fontId="11"/>
  </si>
  <si>
    <t>組入れ_対象施設</t>
    <phoneticPr fontId="8"/>
  </si>
  <si>
    <t>組入れ_対象処方</t>
    <rPh sb="6" eb="8">
      <t>ショホウ</t>
    </rPh>
    <phoneticPr fontId="8"/>
  </si>
  <si>
    <t>バックアップ_処方データ_組入れ第一条件</t>
  </si>
  <si>
    <t>施設別の患者数の集計結果を取得する。　※フィージビリティ調査対象施設+名古屋第一が対象となっていて、事前調査時点の862名と比較して同程度であるか確認する。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8"/>
  </si>
  <si>
    <t>文字列</t>
    <rPh sb="0" eb="3">
      <t>モジレツ</t>
    </rPh>
    <phoneticPr fontId="30"/>
  </si>
  <si>
    <t>文字列</t>
    <rPh sb="0" eb="3">
      <t>モジレツ</t>
    </rPh>
    <phoneticPr fontId="11"/>
  </si>
  <si>
    <t>施設名</t>
    <rPh sb="0" eb="3">
      <t>シセツメイ</t>
    </rPh>
    <phoneticPr fontId="13"/>
  </si>
  <si>
    <t>文字列</t>
    <rPh sb="0" eb="3">
      <t>モジレツ</t>
    </rPh>
    <phoneticPr fontId="6"/>
  </si>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</sst>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s>
  <borders count="58">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s>
  <cellStyleXfs count="16">
    <xf numFmtId="0" fontId="0" fillId="0" borderId="0">
      <alignment vertical="center"/>
    </xf>
    <xf numFmtId="0" fontId="10" fillId="0" borderId="0">
      <alignment vertical="center"/>
    </xf>
    <xf numFmtId="0" fontId="12" fillId="0" borderId="0"/>
    <xf numFmtId="0" fontId="12" fillId="0" borderId="0">
      <alignment vertical="center"/>
    </xf>
    <xf numFmtId="0" fontId="17" fillId="0" borderId="0">
      <alignment vertical="center"/>
    </xf>
    <xf numFmtId="0" fontId="19" fillId="0" borderId="0" applyNumberFormat="0" applyFill="0" applyBorder="0" applyAlignment="0" applyProtection="0">
      <alignment vertical="center"/>
    </xf>
    <xf numFmtId="0" fontId="20" fillId="0" borderId="0" applyNumberFormat="0" applyFill="0" applyBorder="0" applyAlignment="0" applyProtection="0"/>
    <xf numFmtId="0" fontId="21" fillId="0" borderId="0"/>
    <xf numFmtId="0" fontId="12" fillId="0" borderId="0">
      <alignment vertical="center"/>
    </xf>
    <xf numFmtId="0" fontId="12" fillId="0" borderId="0"/>
    <xf numFmtId="0" fontId="22" fillId="0" borderId="0" applyNumberFormat="0" applyFill="0" applyBorder="0" applyAlignment="0" applyProtection="0">
      <alignment vertical="center"/>
    </xf>
    <xf numFmtId="0" fontId="3" fillId="0" borderId="0">
      <alignment vertical="center"/>
    </xf>
    <xf numFmtId="0" fontId="12" fillId="0" borderId="0">
      <alignment vertical="center"/>
    </xf>
    <xf numFmtId="0" fontId="12" fillId="0" borderId="0"/>
    <xf numFmtId="0" fontId="19" fillId="0" borderId="0" applyNumberFormat="0" applyFill="0" applyBorder="0" applyAlignment="0" applyProtection="0">
      <alignment vertical="center"/>
    </xf>
    <xf numFmtId="0" fontId="23" fillId="0" borderId="0" applyNumberFormat="0" applyFill="0" applyBorder="0" applyAlignment="0" applyProtection="0">
      <alignment vertical="center"/>
    </xf>
  </cellStyleXfs>
  <cellXfs count="249">
    <xf numFmtId="0" fontId="0" fillId="0" borderId="0" xfId="0">
      <alignment vertical="center"/>
    </xf>
    <xf numFmtId="0" fontId="5" fillId="0" borderId="1" xfId="0" applyFont="1" applyBorder="1" applyAlignment="1">
      <alignment horizontal="center" vertical="center" wrapText="1"/>
    </xf>
    <xf numFmtId="0" fontId="6" fillId="0" borderId="1" xfId="0" applyFont="1" applyBorder="1" applyAlignment="1">
      <alignment vertical="center" wrapText="1"/>
    </xf>
    <xf numFmtId="0" fontId="4" fillId="0" borderId="1" xfId="0" applyFont="1" applyBorder="1" applyAlignment="1">
      <alignment vertical="center" wrapText="1"/>
    </xf>
    <xf numFmtId="0" fontId="14" fillId="0" borderId="0" xfId="3" applyFont="1">
      <alignment vertical="center"/>
    </xf>
    <xf numFmtId="0" fontId="14" fillId="0" borderId="0" xfId="3" applyFont="1" applyFill="1">
      <alignment vertical="center"/>
    </xf>
    <xf numFmtId="0" fontId="16" fillId="3" borderId="3" xfId="2" applyFont="1" applyFill="1" applyBorder="1" applyAlignment="1">
      <alignment vertical="center" wrapText="1"/>
    </xf>
    <xf numFmtId="0" fontId="14" fillId="0" borderId="3" xfId="2" applyFont="1" applyFill="1" applyBorder="1" applyAlignment="1" applyProtection="1">
      <alignment horizontal="center" vertical="center"/>
    </xf>
    <xf numFmtId="0" fontId="14" fillId="0" borderId="3" xfId="2" applyFont="1" applyBorder="1" applyAlignment="1" applyProtection="1">
      <alignment horizontal="center" vertical="center"/>
    </xf>
    <xf numFmtId="0" fontId="14" fillId="0" borderId="3" xfId="2" applyFont="1" applyBorder="1" applyAlignment="1" applyProtection="1">
      <alignment vertical="center"/>
    </xf>
    <xf numFmtId="0" fontId="14" fillId="0" borderId="22" xfId="2" applyFont="1" applyBorder="1" applyAlignment="1" applyProtection="1">
      <alignment horizontal="center" vertical="center"/>
    </xf>
    <xf numFmtId="0" fontId="14" fillId="0" borderId="31" xfId="2" applyFont="1" applyBorder="1" applyAlignment="1" applyProtection="1">
      <alignment vertical="center" wrapText="1"/>
    </xf>
    <xf numFmtId="0" fontId="14" fillId="0" borderId="0" xfId="3" applyFont="1" applyAlignment="1">
      <alignment vertical="center" wrapText="1"/>
    </xf>
    <xf numFmtId="0" fontId="16" fillId="0" borderId="3" xfId="2" applyFont="1" applyFill="1" applyBorder="1" applyAlignment="1">
      <alignment vertical="center" wrapText="1"/>
    </xf>
    <xf numFmtId="0" fontId="18" fillId="3" borderId="3" xfId="2" applyFont="1" applyFill="1" applyBorder="1" applyAlignment="1">
      <alignment vertical="center" wrapText="1"/>
    </xf>
    <xf numFmtId="0" fontId="13" fillId="2" borderId="11" xfId="3" applyFont="1" applyFill="1" applyBorder="1" applyAlignment="1">
      <alignment horizontal="center" vertical="center" wrapText="1"/>
    </xf>
    <xf numFmtId="0" fontId="19" fillId="0" borderId="0" xfId="5">
      <alignment vertical="center"/>
    </xf>
    <xf numFmtId="14" fontId="14" fillId="0" borderId="17" xfId="3" applyNumberFormat="1" applyFont="1" applyFill="1" applyBorder="1" applyAlignment="1">
      <alignment horizontal="center" vertical="center" wrapText="1"/>
    </xf>
    <xf numFmtId="0" fontId="14" fillId="0" borderId="0" xfId="3" applyFont="1" applyFill="1" applyAlignment="1">
      <alignment vertical="center" wrapText="1"/>
    </xf>
    <xf numFmtId="0" fontId="14" fillId="0" borderId="0" xfId="3" applyFont="1" applyFill="1" applyBorder="1" applyAlignment="1">
      <alignment vertical="top"/>
    </xf>
    <xf numFmtId="0" fontId="14" fillId="0" borderId="0" xfId="2" applyFont="1" applyFill="1" applyBorder="1" applyAlignment="1">
      <alignment vertical="top"/>
    </xf>
    <xf numFmtId="0" fontId="14" fillId="0" borderId="30" xfId="2" applyFont="1" applyFill="1" applyBorder="1" applyAlignment="1" applyProtection="1">
      <alignment horizontal="center" vertical="center" shrinkToFit="1"/>
    </xf>
    <xf numFmtId="0" fontId="14" fillId="0" borderId="3" xfId="2" applyFont="1" applyFill="1" applyBorder="1" applyAlignment="1" applyProtection="1">
      <alignment vertical="center"/>
    </xf>
    <xf numFmtId="0" fontId="14" fillId="0" borderId="22" xfId="2" applyFont="1" applyFill="1" applyBorder="1" applyAlignment="1" applyProtection="1">
      <alignment horizontal="center" vertical="center"/>
    </xf>
    <xf numFmtId="0" fontId="14" fillId="0" borderId="31" xfId="2" applyFont="1" applyFill="1" applyBorder="1" applyAlignment="1" applyProtection="1">
      <alignment vertical="center" wrapText="1"/>
    </xf>
    <xf numFmtId="0" fontId="14" fillId="0" borderId="0" xfId="3" applyFont="1" applyAlignment="1">
      <alignment vertical="center"/>
    </xf>
    <xf numFmtId="0" fontId="14" fillId="0" borderId="22" xfId="2" applyFont="1" applyBorder="1" applyAlignment="1" applyProtection="1">
      <alignment vertical="center"/>
    </xf>
    <xf numFmtId="0" fontId="14" fillId="0" borderId="32" xfId="2" applyFont="1" applyBorder="1" applyAlignment="1" applyProtection="1">
      <alignment horizontal="center" vertical="center" shrinkToFit="1"/>
    </xf>
    <xf numFmtId="0" fontId="16" fillId="3" borderId="33" xfId="2" applyFont="1" applyFill="1" applyBorder="1" applyAlignment="1">
      <alignment vertical="center" wrapText="1"/>
    </xf>
    <xf numFmtId="0" fontId="14" fillId="0" borderId="33" xfId="2" applyFont="1" applyBorder="1" applyAlignment="1" applyProtection="1">
      <alignment horizontal="center" vertical="center"/>
    </xf>
    <xf numFmtId="0" fontId="14" fillId="0" borderId="14" xfId="2" applyFont="1" applyBorder="1" applyAlignment="1" applyProtection="1">
      <alignment vertical="center"/>
    </xf>
    <xf numFmtId="0" fontId="14" fillId="0" borderId="14" xfId="2" applyFont="1" applyBorder="1" applyAlignment="1" applyProtection="1">
      <alignment horizontal="center" vertical="center"/>
    </xf>
    <xf numFmtId="0" fontId="14" fillId="0" borderId="0" xfId="8" applyFont="1">
      <alignment vertical="center"/>
    </xf>
    <xf numFmtId="0" fontId="14" fillId="0" borderId="15" xfId="8" applyFont="1" applyBorder="1" applyAlignment="1">
      <alignment vertical="center"/>
    </xf>
    <xf numFmtId="0" fontId="24" fillId="0" borderId="0" xfId="8" applyFont="1">
      <alignment vertical="center"/>
    </xf>
    <xf numFmtId="0" fontId="25" fillId="0" borderId="0" xfId="1" applyFont="1">
      <alignment vertical="center"/>
    </xf>
    <xf numFmtId="0" fontId="25" fillId="0" borderId="41" xfId="1" applyFont="1" applyBorder="1">
      <alignment vertical="center"/>
    </xf>
    <xf numFmtId="0" fontId="25" fillId="0" borderId="44" xfId="1" applyFont="1" applyBorder="1">
      <alignment vertical="center"/>
    </xf>
    <xf numFmtId="0" fontId="25" fillId="0" borderId="2" xfId="1" applyFont="1" applyBorder="1">
      <alignment vertical="center"/>
    </xf>
    <xf numFmtId="0" fontId="25" fillId="0" borderId="0" xfId="1" applyFont="1" applyFill="1">
      <alignment vertical="center"/>
    </xf>
    <xf numFmtId="0" fontId="25" fillId="0" borderId="4" xfId="1" applyFont="1" applyFill="1" applyBorder="1">
      <alignment vertical="center"/>
    </xf>
    <xf numFmtId="0" fontId="25" fillId="0" borderId="4" xfId="1" applyFont="1" applyBorder="1">
      <alignment vertical="center"/>
    </xf>
    <xf numFmtId="0" fontId="25" fillId="0" borderId="45" xfId="1" applyFont="1" applyBorder="1">
      <alignment vertical="center"/>
    </xf>
    <xf numFmtId="0" fontId="25" fillId="5" borderId="3" xfId="1" applyFont="1" applyFill="1" applyBorder="1">
      <alignment vertical="center"/>
    </xf>
    <xf numFmtId="0" fontId="13" fillId="2" borderId="27" xfId="3" applyFont="1" applyFill="1" applyBorder="1" applyAlignment="1">
      <alignment horizontal="center" vertical="center" wrapText="1"/>
    </xf>
    <xf numFmtId="0" fontId="13" fillId="2" borderId="28" xfId="3" applyFont="1" applyFill="1" applyBorder="1" applyAlignment="1">
      <alignment horizontal="center" vertical="center" wrapText="1"/>
    </xf>
    <xf numFmtId="0" fontId="13" fillId="2" borderId="34" xfId="3" applyFont="1" applyFill="1" applyBorder="1" applyAlignment="1">
      <alignment horizontal="center" vertical="center"/>
    </xf>
    <xf numFmtId="0" fontId="13" fillId="2" borderId="6" xfId="3" applyFont="1" applyFill="1" applyBorder="1" applyAlignment="1">
      <alignment horizontal="center" vertical="center"/>
    </xf>
    <xf numFmtId="0" fontId="13" fillId="2" borderId="27" xfId="3" applyFont="1" applyFill="1" applyBorder="1" applyAlignment="1">
      <alignment horizontal="center" vertical="center"/>
    </xf>
    <xf numFmtId="0" fontId="13" fillId="2" borderId="8" xfId="3" applyFont="1" applyFill="1" applyBorder="1" applyAlignment="1">
      <alignment horizontal="center" vertical="center" wrapText="1"/>
    </xf>
    <xf numFmtId="0" fontId="25" fillId="0" borderId="21" xfId="1" applyFont="1" applyBorder="1" applyAlignment="1">
      <alignment vertical="center"/>
    </xf>
    <xf numFmtId="49" fontId="25" fillId="0" borderId="22" xfId="1" applyNumberFormat="1" applyFont="1" applyBorder="1" applyAlignment="1">
      <alignment vertical="center"/>
    </xf>
    <xf numFmtId="0" fontId="25" fillId="0" borderId="21" xfId="1" applyFont="1" applyBorder="1" applyAlignment="1">
      <alignment vertical="center"/>
    </xf>
    <xf numFmtId="0" fontId="14" fillId="0" borderId="31" xfId="2" applyFont="1" applyBorder="1" applyAlignment="1" applyProtection="1">
      <alignment vertical="top" wrapText="1"/>
    </xf>
    <xf numFmtId="0" fontId="14" fillId="0" borderId="31" xfId="2" applyFont="1" applyFill="1" applyBorder="1" applyAlignment="1" applyProtection="1">
      <alignment vertical="top" wrapText="1"/>
    </xf>
    <xf numFmtId="0" fontId="14" fillId="0" borderId="17" xfId="2" applyFont="1" applyBorder="1" applyAlignment="1" applyProtection="1">
      <alignment vertical="top" wrapText="1"/>
    </xf>
    <xf numFmtId="0" fontId="14" fillId="0" borderId="33" xfId="2" applyFont="1" applyFill="1" applyBorder="1" applyAlignment="1" applyProtection="1">
      <alignment horizontal="center" vertical="center"/>
    </xf>
    <xf numFmtId="0" fontId="16" fillId="0" borderId="33" xfId="2" applyFont="1" applyFill="1" applyBorder="1" applyAlignment="1">
      <alignment vertical="center" wrapText="1"/>
    </xf>
    <xf numFmtId="0" fontId="14" fillId="0" borderId="22" xfId="2" applyFont="1" applyFill="1" applyBorder="1" applyAlignment="1" applyProtection="1">
      <alignment vertical="center"/>
    </xf>
    <xf numFmtId="0" fontId="14" fillId="0" borderId="14" xfId="2" applyFont="1" applyFill="1" applyBorder="1" applyAlignment="1" applyProtection="1">
      <alignment vertical="center"/>
    </xf>
    <xf numFmtId="0" fontId="14" fillId="0" borderId="14" xfId="2" applyFont="1" applyFill="1" applyBorder="1" applyAlignment="1" applyProtection="1">
      <alignment horizontal="center" vertical="center"/>
    </xf>
    <xf numFmtId="0" fontId="14" fillId="0" borderId="17" xfId="2" applyFont="1" applyFill="1" applyBorder="1" applyAlignment="1" applyProtection="1">
      <alignment vertical="center" wrapText="1"/>
    </xf>
    <xf numFmtId="0" fontId="25" fillId="0" borderId="21" xfId="1" applyFont="1" applyBorder="1" applyAlignment="1">
      <alignment vertical="center"/>
    </xf>
    <xf numFmtId="0" fontId="25" fillId="6" borderId="3" xfId="1" applyFont="1" applyFill="1" applyBorder="1">
      <alignment vertical="center"/>
    </xf>
    <xf numFmtId="0" fontId="14" fillId="0" borderId="17" xfId="0" applyFont="1" applyBorder="1" applyAlignment="1" applyProtection="1">
      <alignment vertical="center" wrapText="1"/>
    </xf>
    <xf numFmtId="49" fontId="14" fillId="0" borderId="0" xfId="8" applyNumberFormat="1" applyFont="1">
      <alignment vertical="center"/>
    </xf>
    <xf numFmtId="0" fontId="14" fillId="0" borderId="32" xfId="2" applyFont="1" applyFill="1" applyBorder="1" applyAlignment="1" applyProtection="1">
      <alignment horizontal="center" vertical="center" shrinkToFit="1"/>
    </xf>
    <xf numFmtId="49" fontId="14" fillId="0" borderId="3" xfId="2" applyNumberFormat="1" applyFont="1" applyBorder="1" applyAlignment="1" applyProtection="1">
      <alignment vertical="center"/>
    </xf>
    <xf numFmtId="49" fontId="14" fillId="0" borderId="33" xfId="2" applyNumberFormat="1" applyFont="1" applyBorder="1" applyAlignment="1" applyProtection="1">
      <alignment vertical="center"/>
    </xf>
    <xf numFmtId="0" fontId="14" fillId="0" borderId="17" xfId="2" applyFont="1" applyBorder="1" applyAlignment="1" applyProtection="1">
      <alignment vertical="center" wrapText="1"/>
    </xf>
    <xf numFmtId="0" fontId="14" fillId="0" borderId="55" xfId="2" applyFont="1" applyFill="1" applyBorder="1" applyAlignment="1" applyProtection="1">
      <alignment horizontal="center" vertical="center" shrinkToFit="1"/>
    </xf>
    <xf numFmtId="0" fontId="16" fillId="3" borderId="56" xfId="2" applyFont="1" applyFill="1" applyBorder="1" applyAlignment="1">
      <alignment vertical="center" wrapText="1"/>
    </xf>
    <xf numFmtId="0" fontId="14" fillId="0" borderId="56" xfId="2" applyFont="1" applyFill="1" applyBorder="1" applyAlignment="1" applyProtection="1">
      <alignment horizontal="center" vertical="center"/>
    </xf>
    <xf numFmtId="0" fontId="14" fillId="0" borderId="51" xfId="2" applyFont="1" applyFill="1" applyBorder="1" applyAlignment="1" applyProtection="1">
      <alignment vertical="center"/>
    </xf>
    <xf numFmtId="0" fontId="14" fillId="0" borderId="51" xfId="2" applyFont="1" applyFill="1" applyBorder="1" applyAlignment="1" applyProtection="1">
      <alignment horizontal="center" vertical="center"/>
    </xf>
    <xf numFmtId="0" fontId="14" fillId="0" borderId="57" xfId="2" applyFont="1" applyFill="1" applyBorder="1" applyAlignment="1" applyProtection="1">
      <alignment vertical="center" wrapText="1"/>
    </xf>
    <xf numFmtId="0" fontId="14" fillId="0" borderId="0" xfId="1" applyFont="1">
      <alignment vertical="center"/>
    </xf>
    <xf numFmtId="0" fontId="25" fillId="0" borderId="21" xfId="1" applyFont="1" applyBorder="1" applyAlignment="1">
      <alignment vertical="center"/>
    </xf>
    <xf numFmtId="0" fontId="14" fillId="7" borderId="0" xfId="3" applyFont="1" applyFill="1">
      <alignment vertical="center"/>
    </xf>
    <xf numFmtId="49" fontId="25" fillId="0" borderId="0" xfId="1" applyNumberFormat="1" applyFont="1">
      <alignment vertical="center"/>
    </xf>
    <xf numFmtId="0" fontId="25" fillId="0" borderId="21" xfId="1" applyFont="1" applyBorder="1" applyAlignment="1">
      <alignment vertical="center"/>
    </xf>
    <xf numFmtId="0" fontId="14" fillId="4" borderId="22" xfId="8" applyFont="1" applyFill="1" applyBorder="1" applyAlignment="1">
      <alignment horizontal="left" vertical="top"/>
    </xf>
    <xf numFmtId="0" fontId="14" fillId="4" borderId="14" xfId="8" applyFont="1" applyFill="1" applyBorder="1" applyAlignment="1">
      <alignment horizontal="left" vertical="top"/>
    </xf>
    <xf numFmtId="0" fontId="30" fillId="0" borderId="0" xfId="3" applyFont="1" applyAlignment="1">
      <alignment vertical="center"/>
    </xf>
    <xf numFmtId="0" fontId="16" fillId="0" borderId="0" xfId="3" applyFont="1" applyAlignment="1">
      <alignment vertical="center"/>
    </xf>
    <xf numFmtId="0" fontId="16" fillId="5" borderId="3" xfId="3" applyFont="1" applyFill="1" applyBorder="1" applyAlignment="1">
      <alignment vertical="center"/>
    </xf>
    <xf numFmtId="0" fontId="16" fillId="0" borderId="3" xfId="3" applyFont="1" applyBorder="1" applyAlignment="1">
      <alignment vertical="center"/>
    </xf>
    <xf numFmtId="0" fontId="16" fillId="0" borderId="0" xfId="3" applyFont="1" applyAlignment="1">
      <alignment horizontal="left" vertical="center"/>
    </xf>
    <xf numFmtId="0" fontId="16" fillId="0" borderId="0" xfId="3" applyFont="1" applyAlignment="1">
      <alignment vertical="center" wrapText="1"/>
    </xf>
    <xf numFmtId="0" fontId="16" fillId="0" borderId="3" xfId="3" quotePrefix="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14" fillId="4" borderId="42" xfId="8" applyFont="1" applyFill="1" applyBorder="1" applyAlignment="1">
      <alignment horizontal="left" vertical="top"/>
    </xf>
    <xf numFmtId="0" fontId="25" fillId="0" borderId="21" xfId="1" applyFont="1" applyBorder="1" applyAlignment="1">
      <alignment vertical="center"/>
    </xf>
    <xf numFmtId="0" fontId="25" fillId="0" borderId="21" xfId="1" applyFont="1" applyBorder="1" applyAlignment="1">
      <alignment vertical="center"/>
    </xf>
    <xf numFmtId="0" fontId="25" fillId="0" borderId="21" xfId="1" applyFont="1" applyBorder="1" applyAlignment="1">
      <alignment vertical="center"/>
    </xf>
    <xf numFmtId="0" fontId="25" fillId="0" borderId="2" xfId="1" applyFont="1" applyBorder="1" applyAlignment="1">
      <alignment horizontal="center" vertical="center" wrapText="1"/>
    </xf>
    <xf numFmtId="0" fontId="25" fillId="0" borderId="39" xfId="1" applyFont="1" applyBorder="1" applyAlignment="1">
      <alignment horizontal="center" vertical="center" wrapText="1"/>
    </xf>
    <xf numFmtId="0" fontId="25" fillId="0" borderId="42" xfId="1" applyFont="1" applyBorder="1" applyAlignment="1">
      <alignment horizontal="center" vertical="center" wrapText="1"/>
    </xf>
    <xf numFmtId="0" fontId="25" fillId="0" borderId="43" xfId="1" applyFont="1" applyBorder="1" applyAlignment="1">
      <alignment horizontal="center" vertical="center" wrapText="1"/>
    </xf>
    <xf numFmtId="0" fontId="25" fillId="0" borderId="40" xfId="1" applyFont="1" applyBorder="1" applyAlignment="1">
      <alignment horizontal="center" vertical="center" wrapText="1"/>
    </xf>
    <xf numFmtId="0" fontId="25" fillId="0" borderId="5" xfId="1" applyFont="1" applyBorder="1" applyAlignment="1">
      <alignment horizontal="center" vertical="center" wrapText="1"/>
    </xf>
    <xf numFmtId="0" fontId="25" fillId="0" borderId="22" xfId="1" applyFont="1" applyBorder="1" applyAlignment="1">
      <alignment vertical="center"/>
    </xf>
    <xf numFmtId="0" fontId="25" fillId="0" borderId="23" xfId="1" applyFont="1" applyBorder="1" applyAlignment="1">
      <alignment vertical="center"/>
    </xf>
    <xf numFmtId="0" fontId="25" fillId="0" borderId="21" xfId="1" applyFont="1" applyBorder="1" applyAlignment="1">
      <alignment vertical="center"/>
    </xf>
    <xf numFmtId="0" fontId="25" fillId="0" borderId="22" xfId="1" applyFont="1" applyBorder="1" applyAlignment="1">
      <alignment vertical="center" wrapText="1"/>
    </xf>
    <xf numFmtId="0" fontId="25" fillId="0" borderId="23" xfId="1" applyFont="1" applyBorder="1" applyAlignment="1">
      <alignment vertical="center" wrapText="1"/>
    </xf>
    <xf numFmtId="0" fontId="25" fillId="0" borderId="21" xfId="1" applyFont="1" applyBorder="1" applyAlignment="1">
      <alignment vertical="center" wrapText="1"/>
    </xf>
    <xf numFmtId="0" fontId="25" fillId="0" borderId="40" xfId="1" applyFont="1" applyBorder="1" applyAlignment="1">
      <alignment horizontal="center" vertical="center"/>
    </xf>
    <xf numFmtId="0" fontId="25" fillId="0" borderId="5" xfId="1" applyFont="1" applyBorder="1" applyAlignment="1">
      <alignment horizontal="center" vertical="center"/>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2" fillId="0" borderId="2" xfId="1" applyFont="1" applyBorder="1" applyAlignment="1">
      <alignment horizontal="center" vertical="center" wrapText="1"/>
    </xf>
    <xf numFmtId="0" fontId="32" fillId="0" borderId="39" xfId="1" applyFont="1" applyBorder="1" applyAlignment="1">
      <alignment horizontal="center" vertical="center" wrapText="1"/>
    </xf>
    <xf numFmtId="0" fontId="32" fillId="0" borderId="42" xfId="1" applyFont="1" applyBorder="1" applyAlignment="1">
      <alignment horizontal="center" vertical="center" wrapText="1"/>
    </xf>
    <xf numFmtId="0" fontId="32" fillId="0" borderId="43" xfId="1" applyFont="1" applyBorder="1" applyAlignment="1">
      <alignment horizontal="center"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14" fillId="0" borderId="22" xfId="1" applyFont="1" applyBorder="1" applyAlignment="1">
      <alignment vertical="center"/>
    </xf>
    <xf numFmtId="0" fontId="14" fillId="0" borderId="23" xfId="1" applyFont="1" applyBorder="1" applyAlignment="1">
      <alignment vertical="center"/>
    </xf>
    <xf numFmtId="0" fontId="14" fillId="0" borderId="21" xfId="1" applyFont="1" applyBorder="1" applyAlignment="1">
      <alignment vertical="center"/>
    </xf>
    <xf numFmtId="0" fontId="14" fillId="0" borderId="22" xfId="1" applyFont="1" applyBorder="1" applyAlignment="1">
      <alignment vertical="center" wrapText="1"/>
    </xf>
    <xf numFmtId="0" fontId="14" fillId="0" borderId="23" xfId="1" applyFont="1" applyBorder="1" applyAlignment="1">
      <alignment vertical="center" wrapText="1"/>
    </xf>
    <xf numFmtId="0" fontId="14" fillId="0" borderId="21" xfId="1" applyFont="1" applyBorder="1" applyAlignment="1">
      <alignment vertical="center" wrapText="1"/>
    </xf>
    <xf numFmtId="0" fontId="14" fillId="0" borderId="2" xfId="1" applyFont="1" applyBorder="1" applyAlignment="1">
      <alignment horizontal="center" vertical="center" wrapText="1"/>
    </xf>
    <xf numFmtId="0" fontId="14" fillId="0" borderId="44" xfId="1" applyFont="1" applyBorder="1" applyAlignment="1">
      <alignment horizontal="center" vertical="center" wrapText="1"/>
    </xf>
    <xf numFmtId="0" fontId="14" fillId="0" borderId="39" xfId="1" applyFont="1" applyBorder="1" applyAlignment="1">
      <alignment horizontal="center" vertical="center" wrapText="1"/>
    </xf>
    <xf numFmtId="0" fontId="14" fillId="0" borderId="42" xfId="1" applyFont="1" applyBorder="1" applyAlignment="1">
      <alignment horizontal="center" vertical="center" wrapText="1"/>
    </xf>
    <xf numFmtId="0" fontId="14" fillId="0" borderId="41" xfId="1" applyFont="1" applyBorder="1" applyAlignment="1">
      <alignment horizontal="center" vertical="center" wrapText="1"/>
    </xf>
    <xf numFmtId="0" fontId="14" fillId="0" borderId="43" xfId="1" applyFont="1" applyBorder="1" applyAlignment="1">
      <alignment horizontal="center" vertical="center" wrapText="1"/>
    </xf>
    <xf numFmtId="0" fontId="19" fillId="0" borderId="22" xfId="5" applyFill="1" applyBorder="1" applyAlignment="1">
      <alignment vertical="top" wrapText="1"/>
    </xf>
    <xf numFmtId="0" fontId="19" fillId="0" borderId="23" xfId="5" applyFill="1" applyBorder="1" applyAlignment="1">
      <alignment vertical="top" wrapText="1"/>
    </xf>
    <xf numFmtId="0" fontId="19" fillId="0" borderId="21" xfId="5" applyFill="1" applyBorder="1" applyAlignment="1">
      <alignment vertical="top" wrapText="1"/>
    </xf>
    <xf numFmtId="0" fontId="14" fillId="4" borderId="22" xfId="8" applyFont="1" applyFill="1" applyBorder="1" applyAlignment="1">
      <alignment vertical="top" wrapText="1"/>
    </xf>
    <xf numFmtId="0" fontId="14" fillId="4" borderId="23" xfId="8" applyFont="1" applyFill="1" applyBorder="1" applyAlignment="1">
      <alignment vertical="top" wrapText="1"/>
    </xf>
    <xf numFmtId="0" fontId="14" fillId="4" borderId="21" xfId="8" applyFont="1" applyFill="1" applyBorder="1" applyAlignment="1">
      <alignment vertical="top" wrapText="1"/>
    </xf>
    <xf numFmtId="0" fontId="14" fillId="4" borderId="24" xfId="8" applyFont="1" applyFill="1" applyBorder="1" applyAlignment="1">
      <alignment vertical="top" wrapText="1"/>
    </xf>
    <xf numFmtId="0" fontId="14" fillId="4" borderId="4" xfId="8" applyFont="1" applyFill="1" applyBorder="1" applyAlignment="1">
      <alignment horizontal="center" vertical="top" wrapText="1"/>
    </xf>
    <xf numFmtId="0" fontId="14" fillId="4" borderId="0" xfId="8" applyFont="1" applyFill="1" applyBorder="1" applyAlignment="1">
      <alignment horizontal="center" vertical="top" wrapText="1"/>
    </xf>
    <xf numFmtId="0" fontId="14" fillId="4" borderId="47" xfId="8" applyFont="1" applyFill="1" applyBorder="1" applyAlignment="1">
      <alignment horizontal="center" vertical="top" wrapText="1"/>
    </xf>
    <xf numFmtId="0" fontId="14" fillId="4" borderId="29" xfId="8" quotePrefix="1" applyNumberFormat="1" applyFont="1" applyFill="1" applyBorder="1" applyAlignment="1">
      <alignment horizontal="center" vertical="top" wrapText="1"/>
    </xf>
    <xf numFmtId="0" fontId="14" fillId="4" borderId="0" xfId="8" quotePrefix="1" applyNumberFormat="1" applyFont="1" applyFill="1" applyBorder="1" applyAlignment="1">
      <alignment horizontal="center" vertical="top" wrapText="1"/>
    </xf>
    <xf numFmtId="0" fontId="14" fillId="4" borderId="47" xfId="8" quotePrefix="1" applyNumberFormat="1" applyFont="1" applyFill="1" applyBorder="1" applyAlignment="1">
      <alignment horizontal="center" vertical="top" wrapText="1"/>
    </xf>
    <xf numFmtId="0" fontId="13" fillId="2" borderId="2" xfId="8" applyFont="1" applyFill="1" applyBorder="1" applyAlignment="1">
      <alignment horizontal="center" vertical="center" wrapText="1"/>
    </xf>
    <xf numFmtId="0" fontId="13" fillId="2" borderId="44" xfId="8" applyFont="1" applyFill="1" applyBorder="1" applyAlignment="1">
      <alignment horizontal="center" vertical="center" wrapText="1"/>
    </xf>
    <xf numFmtId="0" fontId="13" fillId="2" borderId="39" xfId="8" applyFont="1" applyFill="1" applyBorder="1" applyAlignment="1">
      <alignment horizontal="center" vertical="center" wrapText="1"/>
    </xf>
    <xf numFmtId="0" fontId="13" fillId="2" borderId="42" xfId="8" applyFont="1" applyFill="1" applyBorder="1" applyAlignment="1">
      <alignment horizontal="center" vertical="center" wrapText="1"/>
    </xf>
    <xf numFmtId="0" fontId="13" fillId="2" borderId="41" xfId="8" applyFont="1" applyFill="1" applyBorder="1" applyAlignment="1">
      <alignment horizontal="center" vertical="center" wrapText="1"/>
    </xf>
    <xf numFmtId="0" fontId="13" fillId="2" borderId="43" xfId="8" applyFont="1" applyFill="1" applyBorder="1" applyAlignment="1">
      <alignment horizontal="center" vertical="center" wrapText="1"/>
    </xf>
    <xf numFmtId="0" fontId="13" fillId="2" borderId="22" xfId="8" applyFont="1" applyFill="1" applyBorder="1" applyAlignment="1">
      <alignment horizontal="center" vertical="center"/>
    </xf>
    <xf numFmtId="0" fontId="13" fillId="2" borderId="23" xfId="8" applyFont="1" applyFill="1" applyBorder="1" applyAlignment="1">
      <alignment horizontal="center" vertical="center"/>
    </xf>
    <xf numFmtId="0" fontId="13" fillId="2" borderId="21" xfId="8" applyFont="1" applyFill="1" applyBorder="1" applyAlignment="1">
      <alignment horizontal="center" vertical="center"/>
    </xf>
    <xf numFmtId="0" fontId="14" fillId="0" borderId="22" xfId="8" applyFont="1" applyBorder="1" applyAlignment="1">
      <alignment horizontal="center" vertical="center"/>
    </xf>
    <xf numFmtId="0" fontId="14" fillId="0" borderId="23" xfId="8" applyFont="1" applyBorder="1" applyAlignment="1">
      <alignment horizontal="center" vertical="center"/>
    </xf>
    <xf numFmtId="0" fontId="14" fillId="0" borderId="21" xfId="8" applyFont="1" applyBorder="1" applyAlignment="1">
      <alignment horizontal="center" vertical="center"/>
    </xf>
    <xf numFmtId="0" fontId="13" fillId="2" borderId="27" xfId="8" applyFont="1" applyFill="1" applyBorder="1" applyAlignment="1">
      <alignment horizontal="center" vertical="center"/>
    </xf>
    <xf numFmtId="0" fontId="13" fillId="2" borderId="35" xfId="8" applyFont="1" applyFill="1" applyBorder="1" applyAlignment="1">
      <alignment horizontal="center" vertical="center"/>
    </xf>
    <xf numFmtId="0" fontId="13" fillId="2" borderId="7" xfId="8" applyFont="1" applyFill="1" applyBorder="1" applyAlignment="1">
      <alignment horizontal="center" vertical="center"/>
    </xf>
    <xf numFmtId="0" fontId="14" fillId="0" borderId="36" xfId="8" applyFont="1" applyBorder="1" applyAlignment="1">
      <alignment horizontal="center" vertical="center"/>
    </xf>
    <xf numFmtId="0" fontId="14" fillId="0" borderId="37" xfId="8" applyFont="1" applyBorder="1" applyAlignment="1">
      <alignment horizontal="center" vertical="center"/>
    </xf>
    <xf numFmtId="0" fontId="14" fillId="0" borderId="38" xfId="8" applyFont="1" applyBorder="1" applyAlignment="1">
      <alignment horizontal="center" vertical="center"/>
    </xf>
    <xf numFmtId="0" fontId="13" fillId="2" borderId="27" xfId="8" applyFont="1" applyFill="1" applyBorder="1" applyAlignment="1">
      <alignment horizontal="center" vertical="center" wrapText="1"/>
    </xf>
    <xf numFmtId="0" fontId="13" fillId="2" borderId="35" xfId="8" applyFont="1" applyFill="1" applyBorder="1" applyAlignment="1">
      <alignment horizontal="center" vertical="center" wrapText="1"/>
    </xf>
    <xf numFmtId="0" fontId="13" fillId="2" borderId="7" xfId="8" applyFont="1" applyFill="1" applyBorder="1" applyAlignment="1">
      <alignment horizontal="center" vertical="center" wrapText="1"/>
    </xf>
    <xf numFmtId="0" fontId="13" fillId="2" borderId="36" xfId="8" applyFont="1" applyFill="1" applyBorder="1" applyAlignment="1">
      <alignment horizontal="center" vertical="center" wrapText="1"/>
    </xf>
    <xf numFmtId="0" fontId="13" fillId="2" borderId="37" xfId="8" applyFont="1" applyFill="1" applyBorder="1" applyAlignment="1">
      <alignment horizontal="center" vertical="center" wrapText="1"/>
    </xf>
    <xf numFmtId="0" fontId="13" fillId="2" borderId="38" xfId="8" applyFont="1" applyFill="1" applyBorder="1" applyAlignment="1">
      <alignment horizontal="center" vertical="center" wrapText="1"/>
    </xf>
    <xf numFmtId="0" fontId="13" fillId="2" borderId="36" xfId="8" applyFont="1" applyFill="1" applyBorder="1" applyAlignment="1">
      <alignment horizontal="center" vertical="center"/>
    </xf>
    <xf numFmtId="0" fontId="13" fillId="2" borderId="37" xfId="8" applyFont="1" applyFill="1" applyBorder="1" applyAlignment="1">
      <alignment horizontal="center" vertical="center"/>
    </xf>
    <xf numFmtId="0" fontId="13" fillId="2" borderId="38" xfId="8" applyFont="1" applyFill="1" applyBorder="1" applyAlignment="1">
      <alignment horizontal="center" vertical="center"/>
    </xf>
    <xf numFmtId="0" fontId="19" fillId="0" borderId="42" xfId="5" applyFill="1" applyBorder="1" applyAlignment="1">
      <alignment vertical="top" wrapText="1"/>
    </xf>
    <xf numFmtId="0" fontId="19" fillId="0" borderId="41" xfId="5" applyFill="1" applyBorder="1" applyAlignment="1">
      <alignment vertical="top" wrapText="1"/>
    </xf>
    <xf numFmtId="0" fontId="19" fillId="0" borderId="43" xfId="5" applyFill="1" applyBorder="1" applyAlignment="1">
      <alignment vertical="top" wrapText="1"/>
    </xf>
    <xf numFmtId="0" fontId="13" fillId="2" borderId="6" xfId="8" applyFont="1" applyFill="1" applyBorder="1" applyAlignment="1">
      <alignment horizontal="center" vertical="center" wrapText="1"/>
    </xf>
    <xf numFmtId="0" fontId="13" fillId="2" borderId="46" xfId="8" applyFont="1" applyFill="1" applyBorder="1" applyAlignment="1">
      <alignment horizontal="center" vertical="center" wrapText="1"/>
    </xf>
    <xf numFmtId="0" fontId="14" fillId="4" borderId="42" xfId="8" applyFont="1" applyFill="1" applyBorder="1" applyAlignment="1">
      <alignment vertical="top" wrapText="1"/>
    </xf>
    <xf numFmtId="0" fontId="14" fillId="4" borderId="41" xfId="8" applyFont="1" applyFill="1" applyBorder="1" applyAlignment="1">
      <alignment vertical="top" wrapText="1"/>
    </xf>
    <xf numFmtId="0" fontId="14" fillId="4" borderId="43" xfId="8" applyFont="1" applyFill="1" applyBorder="1" applyAlignment="1">
      <alignment vertical="top" wrapText="1"/>
    </xf>
    <xf numFmtId="14" fontId="14" fillId="0" borderId="22" xfId="8" applyNumberFormat="1" applyFont="1" applyBorder="1" applyAlignment="1">
      <alignment horizontal="center" vertical="center"/>
    </xf>
    <xf numFmtId="14" fontId="14" fillId="0" borderId="23" xfId="8" applyNumberFormat="1" applyFont="1" applyBorder="1" applyAlignment="1">
      <alignment horizontal="center" vertical="center"/>
    </xf>
    <xf numFmtId="14" fontId="14" fillId="0" borderId="21" xfId="8" applyNumberFormat="1" applyFont="1" applyBorder="1" applyAlignment="1">
      <alignment horizontal="center" vertical="center"/>
    </xf>
    <xf numFmtId="0" fontId="14" fillId="4" borderId="53" xfId="8" applyFont="1" applyFill="1" applyBorder="1" applyAlignment="1">
      <alignment vertical="top" wrapText="1"/>
    </xf>
    <xf numFmtId="0" fontId="13" fillId="2" borderId="48" xfId="8" applyFont="1" applyFill="1" applyBorder="1" applyAlignment="1">
      <alignment horizontal="center" vertical="center" wrapText="1"/>
    </xf>
    <xf numFmtId="0" fontId="14" fillId="0" borderId="36" xfId="8" applyFont="1" applyBorder="1" applyAlignment="1">
      <alignment horizontal="center" vertical="center" wrapText="1"/>
    </xf>
    <xf numFmtId="0" fontId="14" fillId="0" borderId="37" xfId="8" applyFont="1" applyBorder="1" applyAlignment="1">
      <alignment horizontal="center" vertical="center" wrapText="1"/>
    </xf>
    <xf numFmtId="0" fontId="14" fillId="0" borderId="49" xfId="8" applyFont="1" applyBorder="1" applyAlignment="1">
      <alignment horizontal="center" vertical="center" wrapText="1"/>
    </xf>
    <xf numFmtId="0" fontId="14" fillId="4" borderId="12" xfId="8" applyNumberFormat="1" applyFont="1" applyFill="1" applyBorder="1" applyAlignment="1">
      <alignment horizontal="center" vertical="top" wrapText="1"/>
    </xf>
    <xf numFmtId="0" fontId="14" fillId="4" borderId="52" xfId="8" applyNumberFormat="1" applyFont="1" applyFill="1" applyBorder="1" applyAlignment="1">
      <alignment horizontal="center" vertical="top" wrapText="1"/>
    </xf>
    <xf numFmtId="0" fontId="14" fillId="4" borderId="13" xfId="8" applyNumberFormat="1" applyFont="1" applyFill="1" applyBorder="1" applyAlignment="1">
      <alignment horizontal="center" vertical="top" wrapText="1"/>
    </xf>
    <xf numFmtId="0" fontId="14" fillId="4" borderId="51" xfId="8" applyFont="1" applyFill="1" applyBorder="1" applyAlignment="1">
      <alignment horizontal="center" vertical="top" wrapText="1"/>
    </xf>
    <xf numFmtId="0" fontId="14" fillId="4" borderId="52" xfId="8" applyFont="1" applyFill="1" applyBorder="1" applyAlignment="1">
      <alignment horizontal="center" vertical="top" wrapText="1"/>
    </xf>
    <xf numFmtId="0" fontId="14" fillId="4" borderId="13" xfId="8" applyFont="1" applyFill="1" applyBorder="1" applyAlignment="1">
      <alignment horizontal="center" vertical="top" wrapText="1"/>
    </xf>
    <xf numFmtId="0" fontId="19" fillId="0" borderId="51" xfId="5" applyFill="1" applyBorder="1" applyAlignment="1">
      <alignment vertical="top" wrapText="1"/>
    </xf>
    <xf numFmtId="0" fontId="19" fillId="0" borderId="52" xfId="5" applyFill="1" applyBorder="1" applyAlignment="1">
      <alignment vertical="top" wrapText="1"/>
    </xf>
    <xf numFmtId="0" fontId="19" fillId="0" borderId="13" xfId="5" applyFill="1" applyBorder="1" applyAlignment="1">
      <alignment vertical="top" wrapText="1"/>
    </xf>
    <xf numFmtId="0" fontId="14" fillId="4" borderId="51" xfId="8" applyFont="1" applyFill="1" applyBorder="1" applyAlignment="1">
      <alignment vertical="top" wrapText="1"/>
    </xf>
    <xf numFmtId="0" fontId="14" fillId="4" borderId="52" xfId="8" applyFont="1" applyFill="1" applyBorder="1" applyAlignment="1">
      <alignment vertical="top" wrapText="1"/>
    </xf>
    <xf numFmtId="0" fontId="14" fillId="4" borderId="13" xfId="8" applyFont="1" applyFill="1" applyBorder="1" applyAlignment="1">
      <alignment vertical="top" wrapText="1"/>
    </xf>
    <xf numFmtId="0" fontId="14" fillId="4" borderId="54" xfId="8" applyFont="1" applyFill="1" applyBorder="1" applyAlignment="1">
      <alignment vertical="top" wrapText="1"/>
    </xf>
    <xf numFmtId="0" fontId="14" fillId="4" borderId="50" xfId="8" applyNumberFormat="1" applyFont="1" applyFill="1" applyBorder="1" applyAlignment="1">
      <alignment horizontal="center" vertical="top" wrapText="1"/>
    </xf>
    <xf numFmtId="0" fontId="14" fillId="4" borderId="44" xfId="8" applyNumberFormat="1" applyFont="1" applyFill="1" applyBorder="1" applyAlignment="1">
      <alignment horizontal="center" vertical="top" wrapText="1"/>
    </xf>
    <xf numFmtId="0" fontId="14" fillId="4" borderId="39" xfId="8" applyNumberFormat="1" applyFont="1" applyFill="1" applyBorder="1" applyAlignment="1">
      <alignment horizontal="center" vertical="top" wrapText="1"/>
    </xf>
    <xf numFmtId="0" fontId="14" fillId="4" borderId="22" xfId="8" applyFont="1" applyFill="1" applyBorder="1" applyAlignment="1">
      <alignment horizontal="center" vertical="top" wrapText="1"/>
    </xf>
    <xf numFmtId="0" fontId="14" fillId="4" borderId="23" xfId="8" applyFont="1" applyFill="1" applyBorder="1" applyAlignment="1">
      <alignment horizontal="center" vertical="top" wrapText="1"/>
    </xf>
    <xf numFmtId="0" fontId="14" fillId="4" borderId="21" xfId="8" applyFont="1" applyFill="1" applyBorder="1" applyAlignment="1">
      <alignment horizontal="center" vertical="top" wrapText="1"/>
    </xf>
    <xf numFmtId="0" fontId="14" fillId="4" borderId="2" xfId="8" applyFont="1" applyFill="1" applyBorder="1" applyAlignment="1">
      <alignment horizontal="center" vertical="top" wrapText="1"/>
    </xf>
    <xf numFmtId="0" fontId="14" fillId="4" borderId="44" xfId="8" applyFont="1" applyFill="1" applyBorder="1" applyAlignment="1">
      <alignment horizontal="center" vertical="top" wrapText="1"/>
    </xf>
    <xf numFmtId="0" fontId="14" fillId="4" borderId="39" xfId="8" applyFont="1" applyFill="1" applyBorder="1" applyAlignment="1">
      <alignment horizontal="center" vertical="top" wrapText="1"/>
    </xf>
    <xf numFmtId="0" fontId="13" fillId="2" borderId="18" xfId="3" applyFont="1" applyFill="1" applyBorder="1" applyAlignment="1">
      <alignment horizontal="center" vertical="center"/>
    </xf>
    <xf numFmtId="0" fontId="13" fillId="2" borderId="10" xfId="3" applyFont="1" applyFill="1" applyBorder="1" applyAlignment="1">
      <alignment horizontal="center" vertical="center"/>
    </xf>
    <xf numFmtId="0" fontId="14" fillId="0" borderId="8" xfId="3" applyFont="1" applyFill="1" applyBorder="1" applyAlignment="1">
      <alignment horizontal="left" vertical="center"/>
    </xf>
    <xf numFmtId="0" fontId="14" fillId="0" borderId="9" xfId="3" applyFont="1" applyFill="1" applyBorder="1" applyAlignment="1">
      <alignment horizontal="left" vertical="center"/>
    </xf>
    <xf numFmtId="0" fontId="14" fillId="0" borderId="19" xfId="3" applyFont="1" applyFill="1" applyBorder="1" applyAlignment="1">
      <alignment horizontal="left" vertical="center"/>
    </xf>
    <xf numFmtId="0" fontId="13" fillId="2" borderId="6" xfId="3" applyFont="1" applyFill="1" applyBorder="1" applyAlignment="1">
      <alignment horizontal="center" vertical="center" wrapText="1"/>
    </xf>
    <xf numFmtId="0" fontId="13" fillId="2" borderId="7" xfId="3" applyFont="1" applyFill="1" applyBorder="1" applyAlignment="1">
      <alignment horizontal="center" vertical="center" wrapText="1"/>
    </xf>
    <xf numFmtId="0" fontId="13" fillId="2" borderId="12" xfId="3" applyFont="1" applyFill="1" applyBorder="1" applyAlignment="1">
      <alignment horizontal="center" vertical="center" wrapText="1"/>
    </xf>
    <xf numFmtId="0" fontId="13" fillId="2" borderId="13" xfId="3" applyFont="1" applyFill="1" applyBorder="1" applyAlignment="1">
      <alignment horizontal="center" vertical="center" wrapText="1"/>
    </xf>
    <xf numFmtId="0" fontId="13" fillId="2" borderId="8" xfId="3" applyFont="1" applyFill="1" applyBorder="1" applyAlignment="1">
      <alignment horizontal="center" vertical="center"/>
    </xf>
    <xf numFmtId="0" fontId="13" fillId="2" borderId="9" xfId="3" applyFont="1" applyFill="1" applyBorder="1" applyAlignment="1">
      <alignment horizontal="center" vertical="center"/>
    </xf>
    <xf numFmtId="0" fontId="14" fillId="0" borderId="14" xfId="3" applyFont="1" applyFill="1" applyBorder="1" applyAlignment="1">
      <alignment horizontal="center" vertical="center"/>
    </xf>
    <xf numFmtId="0" fontId="14" fillId="0" borderId="15" xfId="3" applyFont="1" applyFill="1" applyBorder="1" applyAlignment="1">
      <alignment horizontal="center" vertical="center"/>
    </xf>
    <xf numFmtId="0" fontId="14" fillId="0" borderId="16" xfId="3" applyFont="1" applyFill="1" applyBorder="1" applyAlignment="1">
      <alignment horizontal="center" vertical="center"/>
    </xf>
    <xf numFmtId="14" fontId="14" fillId="0" borderId="14" xfId="3" applyNumberFormat="1" applyFont="1" applyFill="1" applyBorder="1" applyAlignment="1">
      <alignment horizontal="center" vertical="center"/>
    </xf>
    <xf numFmtId="14" fontId="14" fillId="0" borderId="16" xfId="3" applyNumberFormat="1" applyFont="1" applyFill="1" applyBorder="1" applyAlignment="1">
      <alignment horizontal="center" vertical="center"/>
    </xf>
    <xf numFmtId="0" fontId="13" fillId="2" borderId="20" xfId="3" applyFont="1" applyFill="1" applyBorder="1" applyAlignment="1">
      <alignment horizontal="center" vertical="center"/>
    </xf>
    <xf numFmtId="0" fontId="13" fillId="2" borderId="21" xfId="3" applyFont="1" applyFill="1" applyBorder="1" applyAlignment="1">
      <alignment horizontal="center" vertical="center"/>
    </xf>
    <xf numFmtId="0" fontId="14" fillId="0" borderId="22" xfId="3" applyFont="1" applyBorder="1" applyAlignment="1">
      <alignment horizontal="left" vertical="center"/>
    </xf>
    <xf numFmtId="0" fontId="14" fillId="0" borderId="23" xfId="3" applyFont="1" applyBorder="1" applyAlignment="1">
      <alignment horizontal="left" vertical="center"/>
    </xf>
    <xf numFmtId="0" fontId="14" fillId="0" borderId="24" xfId="3" applyFont="1" applyBorder="1" applyAlignment="1">
      <alignment horizontal="left" vertical="center"/>
    </xf>
    <xf numFmtId="0" fontId="13" fillId="2" borderId="25" xfId="3" applyFont="1" applyFill="1" applyBorder="1" applyAlignment="1">
      <alignment horizontal="center" vertical="top"/>
    </xf>
    <xf numFmtId="0" fontId="13" fillId="2" borderId="16" xfId="3" applyFont="1" applyFill="1" applyBorder="1" applyAlignment="1">
      <alignment horizontal="center" vertical="top"/>
    </xf>
    <xf numFmtId="0" fontId="14" fillId="0" borderId="14" xfId="3" applyFont="1" applyFill="1" applyBorder="1" applyAlignment="1">
      <alignment horizontal="left" vertical="top" wrapText="1"/>
    </xf>
    <xf numFmtId="0" fontId="14" fillId="0" borderId="15" xfId="3" applyFont="1" applyFill="1" applyBorder="1" applyAlignment="1">
      <alignment horizontal="left" vertical="top" wrapText="1"/>
    </xf>
    <xf numFmtId="0" fontId="14" fillId="0" borderId="26" xfId="3" applyFont="1" applyFill="1" applyBorder="1" applyAlignment="1">
      <alignment horizontal="left" vertical="top" wrapText="1"/>
    </xf>
    <xf numFmtId="0" fontId="14" fillId="0" borderId="22" xfId="3" applyFont="1" applyFill="1" applyBorder="1" applyAlignment="1">
      <alignment horizontal="left" vertical="center"/>
    </xf>
    <xf numFmtId="0" fontId="14" fillId="0" borderId="23" xfId="3" applyFont="1" applyFill="1" applyBorder="1" applyAlignment="1">
      <alignment horizontal="left" vertical="center"/>
    </xf>
    <xf numFmtId="0" fontId="14" fillId="0" borderId="24" xfId="3" applyFont="1" applyFill="1" applyBorder="1" applyAlignment="1">
      <alignment horizontal="left" vertical="center"/>
    </xf>
    <xf numFmtId="0" fontId="16" fillId="0" borderId="22" xfId="3" applyFont="1" applyBorder="1" applyAlignment="1">
      <alignment horizontal="left" vertical="center"/>
    </xf>
    <xf numFmtId="0" fontId="16" fillId="0" borderId="23" xfId="3" applyFont="1" applyBorder="1" applyAlignment="1">
      <alignment horizontal="left" vertical="center"/>
    </xf>
    <xf numFmtId="0" fontId="16" fillId="0" borderId="21" xfId="3" applyFont="1" applyBorder="1" applyAlignment="1">
      <alignment horizontal="left" vertical="center"/>
    </xf>
    <xf numFmtId="0" fontId="16" fillId="5" borderId="22" xfId="3" applyFont="1" applyFill="1" applyBorder="1" applyAlignment="1">
      <alignment horizontal="left" vertical="center"/>
    </xf>
    <xf numFmtId="0" fontId="16" fillId="5" borderId="23" xfId="3" applyFont="1" applyFill="1" applyBorder="1" applyAlignment="1">
      <alignment horizontal="left" vertical="center"/>
    </xf>
    <xf numFmtId="0" fontId="16" fillId="5" borderId="21" xfId="3" applyFont="1" applyFill="1" applyBorder="1" applyAlignment="1">
      <alignment horizontal="left" vertical="center"/>
    </xf>
    <xf numFmtId="0" fontId="16" fillId="0" borderId="3" xfId="3" applyFont="1" applyBorder="1" applyAlignment="1">
      <alignment vertical="center"/>
    </xf>
    <xf numFmtId="0" fontId="16" fillId="5" borderId="3" xfId="3" applyFont="1" applyFill="1" applyBorder="1" applyAlignment="1">
      <alignment horizontal="center" vertical="center"/>
    </xf>
  </cellXfs>
  <cellStyles count="16">
    <cellStyle name="ハイパーリンク" xfId="5" builtinId="8"/>
    <cellStyle name="ハイパーリンク 2" xfId="6" xr:uid="{00000000-0005-0000-0000-000001000000}"/>
    <cellStyle name="ハイパーリンク 2 2" xfId="14" xr:uid="{00000000-0005-0000-0000-000002000000}"/>
    <cellStyle name="ハイパーリンク 3" xfId="10" xr:uid="{00000000-0005-0000-0000-000003000000}"/>
    <cellStyle name="ハイパーリンク 4" xfId="15" xr:uid="{00000000-0005-0000-0000-000004000000}"/>
    <cellStyle name="標準" xfId="0" builtinId="0"/>
    <cellStyle name="標準 12" xfId="13" xr:uid="{00000000-0005-0000-0000-000006000000}"/>
    <cellStyle name="標準 2" xfId="2" xr:uid="{00000000-0005-0000-0000-000007000000}"/>
    <cellStyle name="標準 2 2" xfId="12" xr:uid="{00000000-0005-0000-0000-000008000000}"/>
    <cellStyle name="標準 3" xfId="4" xr:uid="{00000000-0005-0000-0000-000009000000}"/>
    <cellStyle name="標準 4" xfId="1" xr:uid="{00000000-0005-0000-0000-00000A000000}"/>
    <cellStyle name="標準 5" xfId="7" xr:uid="{00000000-0005-0000-0000-00000B000000}"/>
    <cellStyle name="標準 6" xfId="8" xr:uid="{00000000-0005-0000-0000-00000C000000}"/>
    <cellStyle name="標準 7" xfId="11" xr:uid="{00000000-0005-0000-0000-00000D000000}"/>
    <cellStyle name="標準 8 2" xfId="9" xr:uid="{00000000-0005-0000-0000-00000E000000}"/>
    <cellStyle name="㼿㼿" xfId="3" xr:uid="{00000000-0005-0000-0000-00000F000000}"/>
  </cellStyles>
  <dxfs count="38">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worksheet" Target="worksheets/sheet181.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worksheet" Target="worksheets/sheet182.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theme" Target="theme/theme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styles" Target="style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calcChain" Target="calcChain.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548536" cy="392415"/>
    <xdr:sp macro="" textlink="">
      <xdr:nvSpPr>
        <xdr:cNvPr id="14" name="テキスト ボックス 13">
          <a:extLst>
            <a:ext uri="{FF2B5EF4-FFF2-40B4-BE49-F238E27FC236}">
              <a16:creationId xmlns:a16="http://schemas.microsoft.com/office/drawing/2014/main" id="{00000000-0008-0000-0100-00000E000000}"/>
            </a:ext>
          </a:extLst>
        </xdr:cNvPr>
        <xdr:cNvSpPr txBox="1"/>
      </xdr:nvSpPr>
      <xdr:spPr>
        <a:xfrm>
          <a:off x="8105775" y="1666875"/>
          <a:ext cx="354853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r>
            <a:rPr kumimoji="1" lang="en-US" altLang="ja-JP" sz="1200" b="1">
              <a:solidFill>
                <a:srgbClr val="FF0000"/>
              </a:solidFill>
              <a:latin typeface="メイリオ" panose="020B0604030504040204" pitchFamily="50" charset="-128"/>
              <a:ea typeface="メイリオ" panose="020B0604030504040204" pitchFamily="50" charset="-128"/>
            </a:rPr>
            <a:t>622796601, 622796701</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0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18</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1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19</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3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1003</xdr:row>
      <xdr:rowOff>0</xdr:rowOff>
    </xdr:from>
    <xdr:ext cx="784830" cy="392415"/>
    <xdr:sp macro="" textlink="">
      <xdr:nvSpPr>
        <xdr:cNvPr id="6" name="テキスト ボックス 5">
          <a:extLst>
            <a:ext uri="{FF2B5EF4-FFF2-40B4-BE49-F238E27FC236}">
              <a16:creationId xmlns:a16="http://schemas.microsoft.com/office/drawing/2014/main" id="{00000000-0008-0000-0100-000006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1015</xdr:row>
      <xdr:rowOff>0</xdr:rowOff>
    </xdr:from>
    <xdr:ext cx="784830" cy="392415"/>
    <xdr:sp macro="" textlink="">
      <xdr:nvSpPr>
        <xdr:cNvPr id="8" name="テキスト ボックス 7">
          <a:extLst>
            <a:ext uri="{FF2B5EF4-FFF2-40B4-BE49-F238E27FC236}">
              <a16:creationId xmlns:a16="http://schemas.microsoft.com/office/drawing/2014/main" id="{00000000-0008-0000-0100-000008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1027</xdr:row>
      <xdr:rowOff>0</xdr:rowOff>
    </xdr:from>
    <xdr:ext cx="784830" cy="392415"/>
    <xdr:sp macro="" textlink="">
      <xdr:nvSpPr>
        <xdr:cNvPr id="9" name="テキスト ボックス 8">
          <a:extLst>
            <a:ext uri="{FF2B5EF4-FFF2-40B4-BE49-F238E27FC236}">
              <a16:creationId xmlns:a16="http://schemas.microsoft.com/office/drawing/2014/main" id="{00000000-0008-0000-0100-000009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1039</xdr:row>
      <xdr:rowOff>0</xdr:rowOff>
    </xdr:from>
    <xdr:ext cx="784830" cy="392415"/>
    <xdr:sp macro="" textlink="">
      <xdr:nvSpPr>
        <xdr:cNvPr id="10" name="テキスト ボックス 9">
          <a:extLst>
            <a:ext uri="{FF2B5EF4-FFF2-40B4-BE49-F238E27FC236}">
              <a16:creationId xmlns:a16="http://schemas.microsoft.com/office/drawing/2014/main" id="{00000000-0008-0000-0100-00000A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1051</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0B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1063</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0C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1075</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0D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1087</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0F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1099</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2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1111</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4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1123</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5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1135</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6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1147</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1159</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8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1171</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9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1183</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A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1195</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B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1207</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C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1219</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D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1231</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E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1243</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F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1255</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20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1267</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21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1279</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22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1291</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23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1303</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24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1315</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25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1327</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26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1339</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2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1351</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28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1363</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29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1375</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2A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1387</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2B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1399</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2C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1411</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2D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1423</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2E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1435</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2F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1447</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30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1459</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31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1471</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32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1483</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33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1495</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34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1507</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35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1519</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36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1531</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3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1543</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38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37</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39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49</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3A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61</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3B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3D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3E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106</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3F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118</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40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130</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41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142</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42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154</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43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166</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44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619</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46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631</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4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643</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48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655</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49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667</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4A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679</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4B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691</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4C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703</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4D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715</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4E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727</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4F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739</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50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751</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51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763</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52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775</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53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787</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54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799</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55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811</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56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823</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5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835</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58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847</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59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859</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5A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871</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5B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883</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5C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895</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5D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907</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5E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919</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5F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931</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60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943</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61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955</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62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967</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63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979</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64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991</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65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24</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66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617</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6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6</xdr:col>
      <xdr:colOff>0</xdr:colOff>
      <xdr:row>21</xdr:row>
      <xdr:rowOff>0</xdr:rowOff>
    </xdr:from>
    <xdr:ext cx="2646878" cy="692497"/>
    <xdr:sp macro="" textlink="">
      <xdr:nvSpPr>
        <xdr:cNvPr id="12" name="テキスト ボックス 11">
          <a:extLst>
            <a:ext uri="{FF2B5EF4-FFF2-40B4-BE49-F238E27FC236}">
              <a16:creationId xmlns:a16="http://schemas.microsoft.com/office/drawing/2014/main" id="{00000000-0008-0000-0200-00000C000000}"/>
            </a:ext>
          </a:extLst>
        </xdr:cNvPr>
        <xdr:cNvSpPr txBox="1"/>
      </xdr:nvSpPr>
      <xdr:spPr>
        <a:xfrm>
          <a:off x="4235450" y="5067300"/>
          <a:ext cx="2646878"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p>
        <a:p>
          <a:r>
            <a:rPr kumimoji="1" lang="ja-JP" altLang="en-US" sz="1200" b="1">
              <a:solidFill>
                <a:srgbClr val="FF0000"/>
              </a:solidFill>
              <a:latin typeface="メイリオ" panose="020B0604030504040204" pitchFamily="50" charset="-128"/>
              <a:ea typeface="メイリオ" panose="020B0604030504040204" pitchFamily="50" charset="-128"/>
            </a:rPr>
            <a:t>（各施設の契約開始以降の処方日）</a:t>
          </a:r>
        </a:p>
      </xdr:txBody>
    </xdr:sp>
    <xdr:clientData/>
  </xdr:oneCellAnchor>
  <xdr:oneCellAnchor>
    <xdr:from>
      <xdr:col>13</xdr:col>
      <xdr:colOff>0</xdr:colOff>
      <xdr:row>43</xdr:row>
      <xdr:rowOff>0</xdr:rowOff>
    </xdr:from>
    <xdr:ext cx="2339102" cy="392415"/>
    <xdr:sp macro="" textlink="">
      <xdr:nvSpPr>
        <xdr:cNvPr id="8" name="テキスト ボックス 7">
          <a:extLst>
            <a:ext uri="{FF2B5EF4-FFF2-40B4-BE49-F238E27FC236}">
              <a16:creationId xmlns:a16="http://schemas.microsoft.com/office/drawing/2014/main" id="{00000000-0008-0000-0200-000008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6</xdr:col>
      <xdr:colOff>0</xdr:colOff>
      <xdr:row>7</xdr:row>
      <xdr:rowOff>0</xdr:rowOff>
    </xdr:from>
    <xdr:ext cx="4558492" cy="692497"/>
    <xdr:sp macro="" textlink="">
      <xdr:nvSpPr>
        <xdr:cNvPr id="14" name="テキスト ボックス 13">
          <a:extLst>
            <a:ext uri="{FF2B5EF4-FFF2-40B4-BE49-F238E27FC236}">
              <a16:creationId xmlns:a16="http://schemas.microsoft.com/office/drawing/2014/main" id="{00000000-0008-0000-0200-00000E000000}"/>
            </a:ext>
          </a:extLst>
        </xdr:cNvPr>
        <xdr:cNvSpPr txBox="1"/>
      </xdr:nvSpPr>
      <xdr:spPr>
        <a:xfrm>
          <a:off x="4219575" y="1666875"/>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10</xdr:row>
      <xdr:rowOff>0</xdr:rowOff>
    </xdr:from>
    <xdr:ext cx="1183273" cy="392415"/>
    <xdr:sp macro="" textlink="">
      <xdr:nvSpPr>
        <xdr:cNvPr id="18" name="テキスト ボックス 17">
          <a:extLst>
            <a:ext uri="{FF2B5EF4-FFF2-40B4-BE49-F238E27FC236}">
              <a16:creationId xmlns:a16="http://schemas.microsoft.com/office/drawing/2014/main" id="{00000000-0008-0000-0200-000012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33</xdr:row>
      <xdr:rowOff>0</xdr:rowOff>
    </xdr:from>
    <xdr:ext cx="784830" cy="392415"/>
    <xdr:sp macro="" textlink="">
      <xdr:nvSpPr>
        <xdr:cNvPr id="24" name="テキスト ボックス 23">
          <a:extLst>
            <a:ext uri="{FF2B5EF4-FFF2-40B4-BE49-F238E27FC236}">
              <a16:creationId xmlns:a16="http://schemas.microsoft.com/office/drawing/2014/main" id="{00000000-0008-0000-0200-000018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11</xdr:col>
      <xdr:colOff>0</xdr:colOff>
      <xdr:row>47</xdr:row>
      <xdr:rowOff>0</xdr:rowOff>
    </xdr:from>
    <xdr:ext cx="3108543" cy="692497"/>
    <xdr:sp macro="" textlink="">
      <xdr:nvSpPr>
        <xdr:cNvPr id="6" name="テキスト ボックス 5">
          <a:extLst>
            <a:ext uri="{FF2B5EF4-FFF2-40B4-BE49-F238E27FC236}">
              <a16:creationId xmlns:a16="http://schemas.microsoft.com/office/drawing/2014/main" id="{00000000-0008-0000-0300-000006000000}"/>
            </a:ext>
          </a:extLst>
        </xdr:cNvPr>
        <xdr:cNvSpPr txBox="1"/>
      </xdr:nvSpPr>
      <xdr:spPr>
        <a:xfrm>
          <a:off x="7829550" y="45243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受領ファイルの「疾患マスタ」シート分を</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ファイルインポート</a:t>
          </a:r>
        </a:p>
      </xdr:txBody>
    </xdr:sp>
    <xdr:clientData/>
  </xdr:oneCellAnchor>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300-000005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300-00000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300-000008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300-000009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129</xdr:row>
      <xdr:rowOff>0</xdr:rowOff>
    </xdr:from>
    <xdr:ext cx="784830" cy="392415"/>
    <xdr:sp macro="" textlink="">
      <xdr:nvSpPr>
        <xdr:cNvPr id="9" name="テキスト ボックス 8">
          <a:extLst>
            <a:ext uri="{FF2B5EF4-FFF2-40B4-BE49-F238E27FC236}">
              <a16:creationId xmlns:a16="http://schemas.microsoft.com/office/drawing/2014/main" id="{00000000-0008-0000-0400-000009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14" name="テキスト ボックス 13">
          <a:extLst>
            <a:ext uri="{FF2B5EF4-FFF2-40B4-BE49-F238E27FC236}">
              <a16:creationId xmlns:a16="http://schemas.microsoft.com/office/drawing/2014/main" id="{00000000-0008-0000-0400-00000E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15" name="テキスト ボックス 14">
          <a:extLst>
            <a:ext uri="{FF2B5EF4-FFF2-40B4-BE49-F238E27FC236}">
              <a16:creationId xmlns:a16="http://schemas.microsoft.com/office/drawing/2014/main" id="{00000000-0008-0000-0400-00000F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16" name="テキスト ボックス 15">
          <a:extLst>
            <a:ext uri="{FF2B5EF4-FFF2-40B4-BE49-F238E27FC236}">
              <a16:creationId xmlns:a16="http://schemas.microsoft.com/office/drawing/2014/main" id="{00000000-0008-0000-0400-000010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7" name="テキスト ボックス 16">
          <a:extLst>
            <a:ext uri="{FF2B5EF4-FFF2-40B4-BE49-F238E27FC236}">
              <a16:creationId xmlns:a16="http://schemas.microsoft.com/office/drawing/2014/main" id="{00000000-0008-0000-0400-000011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400-00000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400-000008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10" name="テキスト ボックス 9">
          <a:extLst>
            <a:ext uri="{FF2B5EF4-FFF2-40B4-BE49-F238E27FC236}">
              <a16:creationId xmlns:a16="http://schemas.microsoft.com/office/drawing/2014/main" id="{00000000-0008-0000-0400-00000A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1" name="テキスト ボックス 10">
          <a:extLst>
            <a:ext uri="{FF2B5EF4-FFF2-40B4-BE49-F238E27FC236}">
              <a16:creationId xmlns:a16="http://schemas.microsoft.com/office/drawing/2014/main" id="{00000000-0008-0000-0400-00000B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2" name="テキスト ボックス 11">
          <a:extLst>
            <a:ext uri="{FF2B5EF4-FFF2-40B4-BE49-F238E27FC236}">
              <a16:creationId xmlns:a16="http://schemas.microsoft.com/office/drawing/2014/main" id="{00000000-0008-0000-0400-00000C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3" name="テキスト ボックス 12">
          <a:extLst>
            <a:ext uri="{FF2B5EF4-FFF2-40B4-BE49-F238E27FC236}">
              <a16:creationId xmlns:a16="http://schemas.microsoft.com/office/drawing/2014/main" id="{00000000-0008-0000-0400-00000D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8" name="テキスト ボックス 17">
          <a:extLst>
            <a:ext uri="{FF2B5EF4-FFF2-40B4-BE49-F238E27FC236}">
              <a16:creationId xmlns:a16="http://schemas.microsoft.com/office/drawing/2014/main" id="{00000000-0008-0000-0400-000012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9" name="テキスト ボックス 18">
          <a:extLst>
            <a:ext uri="{FF2B5EF4-FFF2-40B4-BE49-F238E27FC236}">
              <a16:creationId xmlns:a16="http://schemas.microsoft.com/office/drawing/2014/main" id="{00000000-0008-0000-0400-000013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20" name="テキスト ボックス 19">
          <a:extLst>
            <a:ext uri="{FF2B5EF4-FFF2-40B4-BE49-F238E27FC236}">
              <a16:creationId xmlns:a16="http://schemas.microsoft.com/office/drawing/2014/main" id="{00000000-0008-0000-0400-000014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21" name="テキスト ボックス 20">
          <a:extLst>
            <a:ext uri="{FF2B5EF4-FFF2-40B4-BE49-F238E27FC236}">
              <a16:creationId xmlns:a16="http://schemas.microsoft.com/office/drawing/2014/main" id="{00000000-0008-0000-0400-000015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2" name="テキスト ボックス 21">
          <a:extLst>
            <a:ext uri="{FF2B5EF4-FFF2-40B4-BE49-F238E27FC236}">
              <a16:creationId xmlns:a16="http://schemas.microsoft.com/office/drawing/2014/main" id="{00000000-0008-0000-0400-000016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3" name="テキスト ボックス 22">
          <a:extLst>
            <a:ext uri="{FF2B5EF4-FFF2-40B4-BE49-F238E27FC236}">
              <a16:creationId xmlns:a16="http://schemas.microsoft.com/office/drawing/2014/main" id="{00000000-0008-0000-04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213</xdr:row>
      <xdr:rowOff>0</xdr:rowOff>
    </xdr:from>
    <xdr:ext cx="784830" cy="392415"/>
    <xdr:sp macro="" textlink="">
      <xdr:nvSpPr>
        <xdr:cNvPr id="24" name="テキスト ボックス 23">
          <a:extLst>
            <a:ext uri="{FF2B5EF4-FFF2-40B4-BE49-F238E27FC236}">
              <a16:creationId xmlns:a16="http://schemas.microsoft.com/office/drawing/2014/main" id="{00000000-0008-0000-0400-000018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25" name="テキスト ボックス 24">
          <a:extLst>
            <a:ext uri="{FF2B5EF4-FFF2-40B4-BE49-F238E27FC236}">
              <a16:creationId xmlns:a16="http://schemas.microsoft.com/office/drawing/2014/main" id="{00000000-0008-0000-0400-000019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26" name="テキスト ボックス 25">
          <a:extLst>
            <a:ext uri="{FF2B5EF4-FFF2-40B4-BE49-F238E27FC236}">
              <a16:creationId xmlns:a16="http://schemas.microsoft.com/office/drawing/2014/main" id="{00000000-0008-0000-0400-00001A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27" name="テキスト ボックス 26">
          <a:extLst>
            <a:ext uri="{FF2B5EF4-FFF2-40B4-BE49-F238E27FC236}">
              <a16:creationId xmlns:a16="http://schemas.microsoft.com/office/drawing/2014/main" id="{00000000-0008-0000-0400-00001B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28" name="テキスト ボックス 27">
          <a:extLst>
            <a:ext uri="{FF2B5EF4-FFF2-40B4-BE49-F238E27FC236}">
              <a16:creationId xmlns:a16="http://schemas.microsoft.com/office/drawing/2014/main" id="{00000000-0008-0000-0400-00001C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9" name="テキスト ボックス 28">
          <a:extLst>
            <a:ext uri="{FF2B5EF4-FFF2-40B4-BE49-F238E27FC236}">
              <a16:creationId xmlns:a16="http://schemas.microsoft.com/office/drawing/2014/main" id="{00000000-0008-0000-0400-00001D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30" name="テキスト ボックス 29">
          <a:extLst>
            <a:ext uri="{FF2B5EF4-FFF2-40B4-BE49-F238E27FC236}">
              <a16:creationId xmlns:a16="http://schemas.microsoft.com/office/drawing/2014/main" id="{00000000-0008-0000-0400-00001E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31" name="テキスト ボックス 30">
          <a:extLst>
            <a:ext uri="{FF2B5EF4-FFF2-40B4-BE49-F238E27FC236}">
              <a16:creationId xmlns:a16="http://schemas.microsoft.com/office/drawing/2014/main" id="{00000000-0008-0000-0400-00001F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32" name="テキスト ボックス 31">
          <a:extLst>
            <a:ext uri="{FF2B5EF4-FFF2-40B4-BE49-F238E27FC236}">
              <a16:creationId xmlns:a16="http://schemas.microsoft.com/office/drawing/2014/main" id="{00000000-0008-0000-0400-000020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33" name="テキスト ボックス 32">
          <a:extLst>
            <a:ext uri="{FF2B5EF4-FFF2-40B4-BE49-F238E27FC236}">
              <a16:creationId xmlns:a16="http://schemas.microsoft.com/office/drawing/2014/main" id="{00000000-0008-0000-0400-000021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34" name="テキスト ボックス 33">
          <a:extLst>
            <a:ext uri="{FF2B5EF4-FFF2-40B4-BE49-F238E27FC236}">
              <a16:creationId xmlns:a16="http://schemas.microsoft.com/office/drawing/2014/main" id="{00000000-0008-0000-0400-000022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35" name="テキスト ボックス 34">
          <a:extLst>
            <a:ext uri="{FF2B5EF4-FFF2-40B4-BE49-F238E27FC236}">
              <a16:creationId xmlns:a16="http://schemas.microsoft.com/office/drawing/2014/main" id="{00000000-0008-0000-0400-000023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36" name="テキスト ボックス 35">
          <a:extLst>
            <a:ext uri="{FF2B5EF4-FFF2-40B4-BE49-F238E27FC236}">
              <a16:creationId xmlns:a16="http://schemas.microsoft.com/office/drawing/2014/main" id="{00000000-0008-0000-0400-000024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3:K41"/>
  <sheetViews>
    <sheetView topLeftCell="A10" workbookViewId="0">
      <selection activeCell="K19" sqref="K19"/>
    </sheetView>
  </sheetViews>
  <sheetFormatPr defaultRowHeight="13.5"/>
  <cols>
    <col min="2" max="2" width="32.875" customWidth="1"/>
    <col min="3" max="3" width="17.375" customWidth="1"/>
    <col min="4" max="4" width="51.125" bestFit="1" customWidth="1"/>
  </cols>
  <sheetData>
    <row r="3" spans="2:11">
      <c r="I3" t="s">
        <v>105</v>
      </c>
    </row>
    <row r="4" spans="2:11" ht="14.25">
      <c r="B4" s="1" t="s">
        <v>0</v>
      </c>
      <c r="C4" s="1" t="s">
        <v>1</v>
      </c>
      <c r="D4" s="1" t="s">
        <v>2</v>
      </c>
    </row>
    <row r="5" spans="2:11" ht="14.25">
      <c r="B5" s="2" t="s">
        <v>3</v>
      </c>
      <c r="C5" s="2" t="s">
        <v>76</v>
      </c>
      <c r="D5" s="3" t="s">
        <v>4</v>
      </c>
      <c r="I5" t="s">
        <v>93</v>
      </c>
      <c r="K5" t="s">
        <v>108</v>
      </c>
    </row>
    <row r="6" spans="2:11" ht="14.25">
      <c r="B6" s="2" t="s">
        <v>5</v>
      </c>
      <c r="C6" s="2" t="s">
        <v>77</v>
      </c>
      <c r="D6" s="3" t="s">
        <v>6</v>
      </c>
    </row>
    <row r="7" spans="2:11" ht="14.25">
      <c r="B7" s="2" t="s">
        <v>7</v>
      </c>
      <c r="C7" s="3"/>
      <c r="D7" s="3" t="s">
        <v>8</v>
      </c>
      <c r="I7" t="s">
        <v>94</v>
      </c>
    </row>
    <row r="8" spans="2:11" ht="14.25">
      <c r="B8" s="2" t="s">
        <v>9</v>
      </c>
      <c r="C8" s="2" t="s">
        <v>78</v>
      </c>
      <c r="D8" s="3" t="s">
        <v>10</v>
      </c>
      <c r="I8" t="s">
        <v>95</v>
      </c>
    </row>
    <row r="9" spans="2:11" ht="14.25">
      <c r="B9" s="2" t="s">
        <v>11</v>
      </c>
      <c r="C9" s="2" t="s">
        <v>79</v>
      </c>
      <c r="D9" s="3" t="s">
        <v>12</v>
      </c>
      <c r="I9" t="s">
        <v>96</v>
      </c>
    </row>
    <row r="10" spans="2:11" ht="14.25">
      <c r="B10" s="2" t="s">
        <v>13</v>
      </c>
      <c r="C10" s="3"/>
      <c r="D10" s="3" t="s">
        <v>14</v>
      </c>
    </row>
    <row r="11" spans="2:11" ht="14.25">
      <c r="B11" s="2" t="s">
        <v>15</v>
      </c>
      <c r="C11" s="3"/>
      <c r="D11" s="3" t="s">
        <v>16</v>
      </c>
    </row>
    <row r="12" spans="2:11" ht="14.25">
      <c r="B12" s="2" t="s">
        <v>17</v>
      </c>
      <c r="C12" s="2" t="s">
        <v>80</v>
      </c>
      <c r="D12" s="3" t="s">
        <v>18</v>
      </c>
      <c r="I12" t="s">
        <v>98</v>
      </c>
      <c r="J12" t="s">
        <v>91</v>
      </c>
    </row>
    <row r="13" spans="2:11" ht="14.25">
      <c r="B13" s="2" t="s">
        <v>19</v>
      </c>
      <c r="C13" s="2" t="s">
        <v>81</v>
      </c>
      <c r="D13" s="3" t="s">
        <v>20</v>
      </c>
      <c r="I13" t="s">
        <v>90</v>
      </c>
      <c r="J13" t="s">
        <v>97</v>
      </c>
    </row>
    <row r="14" spans="2:11" ht="14.25">
      <c r="B14" s="2" t="s">
        <v>21</v>
      </c>
      <c r="C14" s="3"/>
      <c r="D14" s="3" t="s">
        <v>22</v>
      </c>
    </row>
    <row r="15" spans="2:11" ht="14.25">
      <c r="B15" s="2" t="s">
        <v>23</v>
      </c>
      <c r="C15" s="3"/>
      <c r="D15" s="3" t="s">
        <v>24</v>
      </c>
    </row>
    <row r="16" spans="2:11" ht="14.25">
      <c r="B16" s="2" t="s">
        <v>25</v>
      </c>
      <c r="C16" s="3"/>
      <c r="D16" s="3" t="s">
        <v>26</v>
      </c>
      <c r="I16" t="s">
        <v>99</v>
      </c>
    </row>
    <row r="17" spans="2:11" ht="14.25">
      <c r="B17" s="2" t="s">
        <v>27</v>
      </c>
      <c r="C17" s="2" t="s">
        <v>82</v>
      </c>
      <c r="D17" s="3" t="s">
        <v>28</v>
      </c>
      <c r="I17" t="s">
        <v>27</v>
      </c>
    </row>
    <row r="18" spans="2:11" ht="14.25">
      <c r="B18" s="2" t="s">
        <v>29</v>
      </c>
      <c r="C18" s="3"/>
      <c r="D18" s="3" t="s">
        <v>30</v>
      </c>
    </row>
    <row r="19" spans="2:11" ht="14.25">
      <c r="B19" s="2" t="s">
        <v>31</v>
      </c>
      <c r="C19" s="2" t="s">
        <v>83</v>
      </c>
      <c r="D19" s="3" t="s">
        <v>32</v>
      </c>
      <c r="I19" t="s">
        <v>107</v>
      </c>
      <c r="K19" t="s">
        <v>106</v>
      </c>
    </row>
    <row r="20" spans="2:11" ht="14.25">
      <c r="B20" s="2" t="s">
        <v>33</v>
      </c>
      <c r="C20" s="3"/>
      <c r="D20" s="3" t="s">
        <v>34</v>
      </c>
      <c r="I20" t="s">
        <v>100</v>
      </c>
    </row>
    <row r="21" spans="2:11" ht="14.25">
      <c r="B21" s="2" t="s">
        <v>35</v>
      </c>
      <c r="C21" s="3"/>
      <c r="D21" s="3" t="s">
        <v>36</v>
      </c>
    </row>
    <row r="22" spans="2:11" ht="14.25">
      <c r="B22" s="2" t="s">
        <v>37</v>
      </c>
      <c r="C22" s="3"/>
      <c r="D22" s="3" t="s">
        <v>38</v>
      </c>
    </row>
    <row r="23" spans="2:11" ht="14.25">
      <c r="B23" s="2" t="s">
        <v>39</v>
      </c>
      <c r="C23" s="3"/>
      <c r="D23" s="3" t="s">
        <v>40</v>
      </c>
    </row>
    <row r="24" spans="2:11" ht="14.25">
      <c r="B24" s="2" t="s">
        <v>41</v>
      </c>
      <c r="C24" s="3"/>
      <c r="D24" s="3" t="s">
        <v>42</v>
      </c>
    </row>
    <row r="25" spans="2:11" ht="14.25">
      <c r="B25" s="2" t="s">
        <v>43</v>
      </c>
      <c r="C25" s="2" t="s">
        <v>84</v>
      </c>
      <c r="D25" s="3" t="s">
        <v>44</v>
      </c>
      <c r="I25" t="s">
        <v>101</v>
      </c>
      <c r="J25" t="s">
        <v>92</v>
      </c>
    </row>
    <row r="26" spans="2:11" ht="14.25">
      <c r="B26" s="2" t="s">
        <v>45</v>
      </c>
      <c r="C26" s="3"/>
      <c r="D26" s="3" t="s">
        <v>46</v>
      </c>
    </row>
    <row r="27" spans="2:11" ht="14.25">
      <c r="B27" s="2" t="s">
        <v>47</v>
      </c>
      <c r="C27" s="3"/>
      <c r="D27" s="3" t="s">
        <v>48</v>
      </c>
    </row>
    <row r="28" spans="2:11" ht="14.25">
      <c r="B28" s="2" t="s">
        <v>49</v>
      </c>
      <c r="C28" s="3"/>
      <c r="D28" s="3" t="s">
        <v>50</v>
      </c>
    </row>
    <row r="29" spans="2:11" ht="14.25">
      <c r="B29" s="2" t="s">
        <v>51</v>
      </c>
      <c r="C29" s="2" t="s">
        <v>85</v>
      </c>
      <c r="D29" s="3" t="s">
        <v>52</v>
      </c>
      <c r="I29" t="s">
        <v>51</v>
      </c>
    </row>
    <row r="30" spans="2:11" ht="14.25">
      <c r="B30" s="2" t="s">
        <v>53</v>
      </c>
      <c r="C30" s="2" t="s">
        <v>86</v>
      </c>
      <c r="D30" s="3" t="s">
        <v>54</v>
      </c>
      <c r="I30" t="s">
        <v>102</v>
      </c>
    </row>
    <row r="31" spans="2:11" ht="14.25">
      <c r="B31" s="2" t="s">
        <v>55</v>
      </c>
      <c r="C31" s="2" t="s">
        <v>87</v>
      </c>
      <c r="D31" s="3" t="s">
        <v>56</v>
      </c>
    </row>
    <row r="32" spans="2:11" ht="14.25">
      <c r="B32" s="2" t="s">
        <v>57</v>
      </c>
      <c r="C32" s="3"/>
      <c r="D32" s="3" t="s">
        <v>18</v>
      </c>
      <c r="K32" t="s">
        <v>109</v>
      </c>
    </row>
    <row r="33" spans="2:9" ht="14.25">
      <c r="B33" s="2" t="s">
        <v>58</v>
      </c>
      <c r="C33" s="3"/>
      <c r="D33" s="3" t="s">
        <v>59</v>
      </c>
      <c r="I33" t="s">
        <v>103</v>
      </c>
    </row>
    <row r="34" spans="2:9" ht="14.25">
      <c r="B34" s="2" t="s">
        <v>60</v>
      </c>
      <c r="C34" s="2" t="s">
        <v>88</v>
      </c>
      <c r="D34" s="3" t="s">
        <v>61</v>
      </c>
      <c r="I34" t="s">
        <v>103</v>
      </c>
    </row>
    <row r="35" spans="2:9" ht="24">
      <c r="B35" s="2" t="s">
        <v>62</v>
      </c>
      <c r="C35" s="3"/>
      <c r="D35" s="3" t="s">
        <v>63</v>
      </c>
      <c r="I35" t="s">
        <v>104</v>
      </c>
    </row>
    <row r="36" spans="2:9" ht="14.25">
      <c r="B36" s="2" t="s">
        <v>64</v>
      </c>
      <c r="C36" s="2" t="s">
        <v>89</v>
      </c>
      <c r="D36" s="3" t="s">
        <v>65</v>
      </c>
      <c r="I36" t="s">
        <v>104</v>
      </c>
    </row>
    <row r="37" spans="2:9" ht="14.25">
      <c r="B37" s="2" t="s">
        <v>66</v>
      </c>
      <c r="C37" s="3"/>
      <c r="D37" s="3" t="s">
        <v>67</v>
      </c>
    </row>
    <row r="38" spans="2:9" ht="14.25">
      <c r="B38" s="2" t="s">
        <v>68</v>
      </c>
      <c r="C38" s="3"/>
      <c r="D38" s="3" t="s">
        <v>69</v>
      </c>
    </row>
    <row r="39" spans="2:9" ht="14.25">
      <c r="B39" s="2" t="s">
        <v>70</v>
      </c>
      <c r="C39" s="3"/>
      <c r="D39" s="3" t="s">
        <v>71</v>
      </c>
    </row>
    <row r="40" spans="2:9" ht="14.25">
      <c r="B40" s="2" t="s">
        <v>72</v>
      </c>
      <c r="C40" s="3"/>
      <c r="D40" s="3" t="s">
        <v>73</v>
      </c>
    </row>
    <row r="41" spans="2:9" ht="14.25">
      <c r="B41" s="2" t="s">
        <v>74</v>
      </c>
      <c r="C41" s="3"/>
      <c r="D41" s="3" t="s">
        <v>75</v>
      </c>
      <c r="I41" t="s">
        <v>74</v>
      </c>
    </row>
  </sheetData>
  <phoneticPr fontId="8"/>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B3:W1547"/>
  <sheetViews>
    <sheetView showGridLines="0" topLeftCell="E1" zoomScaleNormal="100" workbookViewId="0">
      <selection activeCell="R7" sqref="R7:S8"/>
    </sheetView>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3224</v>
      </c>
      <c r="D3" s="80"/>
      <c r="W3" s="35" t="str">
        <f>"-- "&amp;B3&amp;" : "&amp;C3</f>
        <v>-- SQL_ID : 01_01</v>
      </c>
    </row>
    <row r="4" spans="2:23" ht="18.75" customHeight="1">
      <c r="B4" s="43" t="s">
        <v>158</v>
      </c>
      <c r="C4" s="102" t="str">
        <f>R7&amp;"登録"</f>
        <v>バックアップ_処方データ_組入れ第一条件登録</v>
      </c>
      <c r="D4" s="103"/>
      <c r="E4" s="103"/>
      <c r="F4" s="103"/>
      <c r="G4" s="103"/>
      <c r="H4" s="103"/>
      <c r="I4" s="103"/>
      <c r="J4" s="103"/>
      <c r="K4" s="103"/>
      <c r="L4" s="103"/>
      <c r="M4" s="103"/>
      <c r="N4" s="103"/>
      <c r="O4" s="103"/>
      <c r="P4" s="103"/>
      <c r="Q4" s="103"/>
      <c r="R4" s="103"/>
      <c r="S4" s="103"/>
      <c r="T4" s="103"/>
      <c r="U4" s="104"/>
      <c r="W4" s="35" t="str">
        <f>"-- "&amp;C4</f>
        <v>-- バックアップ_処方データ_組入れ第一条件登録</v>
      </c>
    </row>
    <row r="5" spans="2:23" ht="18.75" customHeight="1">
      <c r="B5" s="43" t="s">
        <v>159</v>
      </c>
      <c r="C5" s="105" t="s">
        <v>3226</v>
      </c>
      <c r="D5" s="106"/>
      <c r="E5" s="106"/>
      <c r="F5" s="106"/>
      <c r="G5" s="106"/>
      <c r="H5" s="106"/>
      <c r="I5" s="106"/>
      <c r="J5" s="106"/>
      <c r="K5" s="106"/>
      <c r="L5" s="106"/>
      <c r="M5" s="106"/>
      <c r="N5" s="106"/>
      <c r="O5" s="106"/>
      <c r="P5" s="106"/>
      <c r="Q5" s="106"/>
      <c r="R5" s="106"/>
      <c r="S5" s="106"/>
      <c r="T5" s="106"/>
      <c r="U5" s="107"/>
      <c r="W5" s="35" t="str">
        <f>"-- "&amp;C5</f>
        <v>-- 処方データテーブルから組入れ条件の第一条件で絞り込んだ結果の患者IDの一覧をバックアップ_処方データ_組み入れ第一条件テーブルに格納する。</v>
      </c>
    </row>
    <row r="7" spans="2:23" ht="18.75" customHeight="1">
      <c r="C7" s="96" t="s">
        <v>3225</v>
      </c>
      <c r="D7" s="97"/>
      <c r="E7" s="108" t="s">
        <v>162</v>
      </c>
      <c r="F7" s="36"/>
      <c r="G7" s="36"/>
      <c r="H7" s="36"/>
      <c r="I7" s="36"/>
      <c r="J7" s="36"/>
      <c r="K7" s="36"/>
      <c r="L7" s="36"/>
      <c r="M7" s="36"/>
      <c r="N7" s="36"/>
      <c r="O7" s="36"/>
      <c r="P7" s="36"/>
      <c r="Q7" s="36"/>
      <c r="R7" s="96" t="str">
        <f>"バックアップ_"&amp;C7&amp;"_組入れ第一条件"</f>
        <v>バックアップ_処方データ_組入れ第一条件</v>
      </c>
      <c r="S7" s="97"/>
      <c r="T7" s="100" t="str">
        <f>エンティティ一覧!$O$2</f>
        <v>milscm_2023_010</v>
      </c>
    </row>
    <row r="8" spans="2:23" ht="18.75" customHeight="1">
      <c r="C8" s="98"/>
      <c r="D8" s="99"/>
      <c r="E8" s="109"/>
      <c r="F8" s="37"/>
      <c r="G8" s="37"/>
      <c r="H8" s="37"/>
      <c r="I8" s="37"/>
      <c r="J8" s="37"/>
      <c r="K8" s="37"/>
      <c r="L8" s="37"/>
      <c r="M8" s="37"/>
      <c r="N8" s="37"/>
      <c r="O8" s="37"/>
      <c r="P8" s="37"/>
      <c r="Q8" s="37"/>
      <c r="R8" s="98"/>
      <c r="S8" s="99"/>
      <c r="T8" s="101"/>
    </row>
    <row r="10" spans="2:23" ht="18.75" customHeight="1" thickBot="1">
      <c r="B10" s="42"/>
      <c r="C10" s="42"/>
      <c r="D10" s="42"/>
      <c r="E10" s="42"/>
      <c r="F10" s="42"/>
      <c r="G10" s="42"/>
      <c r="H10" s="42"/>
      <c r="I10" s="42"/>
      <c r="J10" s="42"/>
      <c r="K10" s="42"/>
      <c r="L10" s="42"/>
      <c r="M10" s="42"/>
      <c r="N10" s="42"/>
      <c r="O10" s="42"/>
      <c r="P10" s="42"/>
      <c r="Q10" s="42"/>
      <c r="R10" s="42"/>
      <c r="S10" s="42"/>
      <c r="T10" s="42"/>
      <c r="U10" s="42"/>
    </row>
    <row r="12" spans="2:23" ht="18.75" customHeight="1">
      <c r="B12" s="43" t="s">
        <v>163</v>
      </c>
      <c r="C12" s="51" t="s">
        <v>3230</v>
      </c>
      <c r="D12" s="80"/>
      <c r="W12" s="35" t="str">
        <f>"-- "&amp;B12&amp;" : "&amp;C12</f>
        <v>-- SQL_ID : 01_02</v>
      </c>
    </row>
    <row r="13" spans="2:23" ht="18.75" customHeight="1">
      <c r="B13" s="43" t="s">
        <v>158</v>
      </c>
      <c r="C13" s="102" t="str">
        <f>R16&amp;"登録"</f>
        <v>バックアップ_患者マスタ_組入れ第一条件登録</v>
      </c>
      <c r="D13" s="103"/>
      <c r="E13" s="103"/>
      <c r="F13" s="103"/>
      <c r="G13" s="103"/>
      <c r="H13" s="103"/>
      <c r="I13" s="103"/>
      <c r="J13" s="103"/>
      <c r="K13" s="103"/>
      <c r="L13" s="103"/>
      <c r="M13" s="103"/>
      <c r="N13" s="103"/>
      <c r="O13" s="103"/>
      <c r="P13" s="103"/>
      <c r="Q13" s="103"/>
      <c r="R13" s="103"/>
      <c r="S13" s="103"/>
      <c r="T13" s="103"/>
      <c r="U13" s="104"/>
      <c r="W13" s="35" t="str">
        <f>"-- "&amp;C13</f>
        <v>-- バックアップ_患者マスタ_組入れ第一条件登録</v>
      </c>
    </row>
    <row r="14" spans="2:23" ht="18.75" customHeight="1">
      <c r="B14" s="43" t="s">
        <v>159</v>
      </c>
      <c r="C14" s="105" t="str">
        <f>C19&amp;"テーブルから"&amp;C22&amp;"テーブルに存在する患者IDで絞り込んだ結果を"&amp;R16&amp;"テーブルに格納する。"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4" s="106"/>
      <c r="E14" s="106"/>
      <c r="F14" s="106"/>
      <c r="G14" s="106"/>
      <c r="H14" s="106"/>
      <c r="I14" s="106"/>
      <c r="J14" s="106"/>
      <c r="K14" s="106"/>
      <c r="L14" s="106"/>
      <c r="M14" s="106"/>
      <c r="N14" s="106"/>
      <c r="O14" s="106"/>
      <c r="P14" s="106"/>
      <c r="Q14" s="106"/>
      <c r="R14" s="106"/>
      <c r="S14" s="106"/>
      <c r="T14" s="106"/>
      <c r="U14" s="107"/>
      <c r="W14" s="35" t="str">
        <f>"-- "&amp;C14</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16" spans="2:23" ht="18.75" customHeight="1">
      <c r="H16" s="96" t="s">
        <v>3228</v>
      </c>
      <c r="I16" s="97"/>
      <c r="J16" s="108" t="s">
        <v>162</v>
      </c>
      <c r="K16" s="36"/>
      <c r="M16" s="36"/>
      <c r="N16" s="36"/>
      <c r="O16" s="36"/>
      <c r="R16" s="96" t="s">
        <v>3724</v>
      </c>
      <c r="S16" s="97"/>
      <c r="T16" s="100" t="str">
        <f>エンティティ一覧!$O$2</f>
        <v>milscm_2023_010</v>
      </c>
    </row>
    <row r="17" spans="2:23" ht="18.75" customHeight="1">
      <c r="H17" s="98"/>
      <c r="I17" s="99"/>
      <c r="J17" s="109"/>
      <c r="K17" s="37"/>
      <c r="L17" s="38"/>
      <c r="M17" s="37"/>
      <c r="N17" s="37"/>
      <c r="O17" s="37"/>
      <c r="P17" s="37"/>
      <c r="Q17" s="38"/>
      <c r="R17" s="98"/>
      <c r="S17" s="99"/>
      <c r="T17" s="101"/>
    </row>
    <row r="18" spans="2:23" ht="18.75" customHeight="1">
      <c r="K18" s="39"/>
      <c r="L18" s="40"/>
      <c r="P18" s="39"/>
      <c r="Q18" s="40"/>
    </row>
    <row r="19" spans="2:23" ht="18.75" customHeight="1">
      <c r="C19" s="96" t="s">
        <v>3228</v>
      </c>
      <c r="D19" s="97"/>
      <c r="E19" s="108" t="s">
        <v>162</v>
      </c>
      <c r="H19" s="36"/>
      <c r="I19" s="36"/>
      <c r="J19" s="36"/>
      <c r="L19" s="41"/>
      <c r="P19" s="39"/>
      <c r="Q19" s="40"/>
    </row>
    <row r="20" spans="2:23" ht="18.75" customHeight="1">
      <c r="C20" s="98"/>
      <c r="D20" s="99"/>
      <c r="E20" s="109"/>
      <c r="F20" s="37"/>
      <c r="G20" s="38"/>
      <c r="H20" s="37"/>
      <c r="I20" s="37"/>
      <c r="J20" s="37"/>
      <c r="K20" s="37"/>
      <c r="P20" s="39"/>
      <c r="Q20" s="40"/>
    </row>
    <row r="21" spans="2:23" ht="18.75" customHeight="1">
      <c r="F21" s="39"/>
      <c r="G21" s="40"/>
      <c r="P21" s="39"/>
      <c r="Q21" s="40"/>
    </row>
    <row r="22" spans="2:23" ht="18.75" customHeight="1">
      <c r="C22" s="96" t="s">
        <v>3227</v>
      </c>
      <c r="D22" s="97"/>
      <c r="E22" s="100" t="str">
        <f>エンティティ一覧!$O$2</f>
        <v>milscm_2023_010</v>
      </c>
      <c r="G22" s="41"/>
      <c r="P22" s="39"/>
      <c r="Q22" s="40"/>
    </row>
    <row r="23" spans="2:23" ht="18.75" customHeight="1">
      <c r="C23" s="98"/>
      <c r="D23" s="99"/>
      <c r="E23" s="101"/>
      <c r="F23" s="37"/>
      <c r="P23" s="39"/>
      <c r="Q23" s="40"/>
    </row>
    <row r="24" spans="2:23" ht="18.75" customHeight="1">
      <c r="P24" s="39"/>
      <c r="Q24" s="40"/>
    </row>
    <row r="25" spans="2:23" ht="18.75" customHeight="1">
      <c r="M25" s="96" t="s">
        <v>3713</v>
      </c>
      <c r="N25" s="97"/>
      <c r="O25" s="108" t="s">
        <v>162</v>
      </c>
      <c r="Q25" s="41"/>
    </row>
    <row r="26" spans="2:23" ht="18.75" customHeight="1">
      <c r="M26" s="98"/>
      <c r="N26" s="99"/>
      <c r="O26" s="109"/>
      <c r="P26"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3527</v>
      </c>
      <c r="D31" s="90"/>
      <c r="W31" s="35" t="str">
        <f>"-- "&amp;B31&amp;" : "&amp;C31</f>
        <v>-- SQL_ID : 01_A1-02</v>
      </c>
    </row>
    <row r="32" spans="2:23" ht="18.75" customHeight="1">
      <c r="B32" s="43" t="s">
        <v>158</v>
      </c>
      <c r="C32" s="102" t="str">
        <f>R35&amp;"登録"</f>
        <v>バックアップ_処方データ登録</v>
      </c>
      <c r="D32" s="103"/>
      <c r="E32" s="103"/>
      <c r="F32" s="103"/>
      <c r="G32" s="103"/>
      <c r="H32" s="103"/>
      <c r="I32" s="103"/>
      <c r="J32" s="103"/>
      <c r="K32" s="103"/>
      <c r="L32" s="103"/>
      <c r="M32" s="103"/>
      <c r="N32" s="103"/>
      <c r="O32" s="103"/>
      <c r="P32" s="103"/>
      <c r="Q32" s="103"/>
      <c r="R32" s="103"/>
      <c r="S32" s="103"/>
      <c r="T32" s="103"/>
      <c r="U32" s="104"/>
      <c r="W32" s="35" t="str">
        <f>"-- "&amp;C32</f>
        <v>-- バックアップ_処方データ登録</v>
      </c>
    </row>
    <row r="33" spans="2:23" ht="18.75" customHeight="1">
      <c r="B33" s="43" t="s">
        <v>159</v>
      </c>
      <c r="C33" s="105" t="str">
        <f>C35&amp;"テーブルから組入れ条件の第一条件で絞り込んだ結果を"&amp;R35&amp;"テーブルに格納する。"</f>
        <v>処方データテーブルから組入れ条件の第一条件で絞り込んだ結果をバックアップ_処方データテーブルに格納する。</v>
      </c>
      <c r="D33" s="106"/>
      <c r="E33" s="106"/>
      <c r="F33" s="106"/>
      <c r="G33" s="106"/>
      <c r="H33" s="106"/>
      <c r="I33" s="106"/>
      <c r="J33" s="106"/>
      <c r="K33" s="106"/>
      <c r="L33" s="106"/>
      <c r="M33" s="106"/>
      <c r="N33" s="106"/>
      <c r="O33" s="106"/>
      <c r="P33" s="106"/>
      <c r="Q33" s="106"/>
      <c r="R33" s="106"/>
      <c r="S33" s="106"/>
      <c r="T33" s="106"/>
      <c r="U33" s="107"/>
      <c r="W33" s="35" t="str">
        <f>"-- "&amp;C33</f>
        <v>-- 処方データテーブルから組入れ条件の第一条件で絞り込んだ結果をバックアップ_処方データテーブルに格納する。</v>
      </c>
    </row>
    <row r="35" spans="2:23" ht="18.75" customHeight="1">
      <c r="C35" s="96" t="s">
        <v>3530</v>
      </c>
      <c r="D35" s="97"/>
      <c r="E35" s="108" t="s">
        <v>162</v>
      </c>
      <c r="H35" s="36"/>
      <c r="I35" s="36"/>
      <c r="J35" s="36"/>
      <c r="K35" s="36"/>
      <c r="L35" s="36"/>
      <c r="M35" s="36"/>
      <c r="N35" s="36"/>
      <c r="O35" s="36"/>
      <c r="P35" s="36"/>
      <c r="Q35" s="36"/>
      <c r="R35" s="96" t="str">
        <f>"バックアップ_"&amp;SUBSTITUTE(C35,"_結合","")</f>
        <v>バックアップ_処方データ</v>
      </c>
      <c r="S35" s="97"/>
      <c r="T35" s="100" t="str">
        <f>エンティティ一覧!$O$2</f>
        <v>milscm_2023_010</v>
      </c>
    </row>
    <row r="36" spans="2:23" ht="18.75" customHeight="1">
      <c r="C36" s="98"/>
      <c r="D36" s="99"/>
      <c r="E36" s="109"/>
      <c r="F36" s="37"/>
      <c r="G36" s="38"/>
      <c r="H36" s="37"/>
      <c r="I36" s="37"/>
      <c r="J36" s="37"/>
      <c r="K36" s="37"/>
      <c r="L36" s="37"/>
      <c r="M36" s="37"/>
      <c r="N36" s="37"/>
      <c r="O36" s="37"/>
      <c r="P36" s="37"/>
      <c r="Q36" s="37"/>
      <c r="R36" s="98"/>
      <c r="S36" s="99"/>
      <c r="T36" s="101"/>
    </row>
    <row r="37" spans="2:23" ht="18.75" customHeight="1">
      <c r="F37" s="39"/>
      <c r="G37" s="40"/>
    </row>
    <row r="38" spans="2:23" ht="18.75" customHeight="1">
      <c r="C38" s="96" t="s">
        <v>3229</v>
      </c>
      <c r="D38" s="97"/>
      <c r="E38" s="100" t="str">
        <f>エンティティ一覧!$O$2</f>
        <v>milscm_2023_010</v>
      </c>
      <c r="G38" s="41"/>
    </row>
    <row r="39" spans="2:23" ht="18.75" customHeight="1">
      <c r="C39" s="98"/>
      <c r="D39" s="99"/>
      <c r="E39" s="101"/>
      <c r="F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3528</v>
      </c>
      <c r="D43" s="90"/>
      <c r="W43" s="35" t="str">
        <f>"-- "&amp;B43&amp;" : "&amp;C43</f>
        <v>-- SQL_ID : 01_A1-03</v>
      </c>
    </row>
    <row r="44" spans="2:23" ht="18.75" customHeight="1">
      <c r="B44" s="43" t="s">
        <v>158</v>
      </c>
      <c r="C44" s="102" t="str">
        <f>R47&amp;"登録"</f>
        <v>バックアップ_診療行為データ登録</v>
      </c>
      <c r="D44" s="103"/>
      <c r="E44" s="103"/>
      <c r="F44" s="103"/>
      <c r="G44" s="103"/>
      <c r="H44" s="103"/>
      <c r="I44" s="103"/>
      <c r="J44" s="103"/>
      <c r="K44" s="103"/>
      <c r="L44" s="103"/>
      <c r="M44" s="103"/>
      <c r="N44" s="103"/>
      <c r="O44" s="103"/>
      <c r="P44" s="103"/>
      <c r="Q44" s="103"/>
      <c r="R44" s="103"/>
      <c r="S44" s="103"/>
      <c r="T44" s="103"/>
      <c r="U44" s="104"/>
      <c r="W44" s="35" t="str">
        <f>"-- "&amp;C44</f>
        <v>-- バックアップ_診療行為データ登録</v>
      </c>
    </row>
    <row r="45" spans="2:23" ht="18.75" customHeight="1">
      <c r="B45" s="43" t="s">
        <v>159</v>
      </c>
      <c r="C45" s="105" t="str">
        <f>C47&amp;"テーブルから組入れ条件の第一条件で絞り込んだ結果を"&amp;R47&amp;"テーブルに格納する。"</f>
        <v>診療行為データテーブルから組入れ条件の第一条件で絞り込んだ結果をバックアップ_診療行為データテーブルに格納する。</v>
      </c>
      <c r="D45" s="106"/>
      <c r="E45" s="106"/>
      <c r="F45" s="106"/>
      <c r="G45" s="106"/>
      <c r="H45" s="106"/>
      <c r="I45" s="106"/>
      <c r="J45" s="106"/>
      <c r="K45" s="106"/>
      <c r="L45" s="106"/>
      <c r="M45" s="106"/>
      <c r="N45" s="106"/>
      <c r="O45" s="106"/>
      <c r="P45" s="106"/>
      <c r="Q45" s="106"/>
      <c r="R45" s="106"/>
      <c r="S45" s="106"/>
      <c r="T45" s="106"/>
      <c r="U45" s="107"/>
      <c r="W45" s="35" t="str">
        <f>"-- "&amp;C45</f>
        <v>-- 診療行為データテーブルから組入れ条件の第一条件で絞り込んだ結果をバックアップ_診療行為データテーブルに格納する。</v>
      </c>
    </row>
    <row r="47" spans="2:23" ht="18.75" customHeight="1">
      <c r="C47" s="96" t="s">
        <v>3529</v>
      </c>
      <c r="D47" s="97"/>
      <c r="E47" s="108" t="s">
        <v>162</v>
      </c>
      <c r="H47" s="36"/>
      <c r="I47" s="36"/>
      <c r="J47" s="36"/>
      <c r="K47" s="36"/>
      <c r="L47" s="36"/>
      <c r="M47" s="36"/>
      <c r="N47" s="36"/>
      <c r="O47" s="36"/>
      <c r="P47" s="36"/>
      <c r="Q47" s="36"/>
      <c r="R47" s="96" t="str">
        <f>"バックアップ_"&amp;SUBSTITUTE(C47,"_結合","")</f>
        <v>バックアップ_診療行為データ</v>
      </c>
      <c r="S47" s="97"/>
      <c r="T47" s="100" t="str">
        <f>エンティティ一覧!$O$2</f>
        <v>milscm_2023_010</v>
      </c>
    </row>
    <row r="48" spans="2:23" ht="18.75" customHeight="1">
      <c r="C48" s="98"/>
      <c r="D48" s="99"/>
      <c r="E48" s="109"/>
      <c r="F48" s="37"/>
      <c r="G48" s="38"/>
      <c r="H48" s="37"/>
      <c r="I48" s="37"/>
      <c r="J48" s="37"/>
      <c r="K48" s="37"/>
      <c r="L48" s="37"/>
      <c r="M48" s="37"/>
      <c r="N48" s="37"/>
      <c r="O48" s="37"/>
      <c r="P48" s="37"/>
      <c r="Q48" s="37"/>
      <c r="R48" s="98"/>
      <c r="S48" s="99"/>
      <c r="T48" s="101"/>
    </row>
    <row r="49" spans="2:23" ht="18.75" customHeight="1">
      <c r="F49" s="39"/>
      <c r="G49" s="40"/>
    </row>
    <row r="50" spans="2:23" ht="18.75" customHeight="1">
      <c r="C50" s="96" t="s">
        <v>3229</v>
      </c>
      <c r="D50" s="97"/>
      <c r="E50" s="100" t="str">
        <f>エンティティ一覧!$O$2</f>
        <v>milscm_2023_010</v>
      </c>
      <c r="G50" s="41"/>
    </row>
    <row r="51" spans="2:23" ht="18.75" customHeight="1">
      <c r="C51" s="98"/>
      <c r="D51" s="99"/>
      <c r="E51" s="101"/>
      <c r="F51" s="37"/>
    </row>
    <row r="53" spans="2:23" ht="18.75" customHeight="1" thickBot="1">
      <c r="B53" s="42"/>
      <c r="C53" s="42"/>
      <c r="D53" s="42"/>
      <c r="E53" s="42"/>
      <c r="F53" s="42"/>
      <c r="G53" s="42"/>
      <c r="H53" s="42"/>
      <c r="I53" s="42"/>
      <c r="J53" s="42"/>
      <c r="K53" s="42"/>
      <c r="L53" s="42"/>
      <c r="M53" s="42"/>
      <c r="N53" s="42"/>
      <c r="O53" s="42"/>
      <c r="P53" s="42"/>
      <c r="Q53" s="42"/>
      <c r="R53" s="42"/>
      <c r="S53" s="42"/>
      <c r="T53" s="42"/>
      <c r="U53" s="42"/>
    </row>
    <row r="55" spans="2:23" ht="18.75" customHeight="1">
      <c r="B55" s="43" t="s">
        <v>163</v>
      </c>
      <c r="C55" s="51" t="s">
        <v>3531</v>
      </c>
      <c r="D55" s="90"/>
      <c r="W55" s="35" t="str">
        <f>"-- "&amp;B55&amp;" : "&amp;C55</f>
        <v>-- SQL_ID : 01_A1-04</v>
      </c>
    </row>
    <row r="56" spans="2:23" ht="18.75" customHeight="1">
      <c r="B56" s="43" t="s">
        <v>158</v>
      </c>
      <c r="C56" s="102" t="str">
        <f>R59&amp;"登録"</f>
        <v>バックアップ_疾患データ登録</v>
      </c>
      <c r="D56" s="103"/>
      <c r="E56" s="103"/>
      <c r="F56" s="103"/>
      <c r="G56" s="103"/>
      <c r="H56" s="103"/>
      <c r="I56" s="103"/>
      <c r="J56" s="103"/>
      <c r="K56" s="103"/>
      <c r="L56" s="103"/>
      <c r="M56" s="103"/>
      <c r="N56" s="103"/>
      <c r="O56" s="103"/>
      <c r="P56" s="103"/>
      <c r="Q56" s="103"/>
      <c r="R56" s="103"/>
      <c r="S56" s="103"/>
      <c r="T56" s="103"/>
      <c r="U56" s="104"/>
      <c r="W56" s="35" t="str">
        <f>"-- "&amp;C56</f>
        <v>-- バックアップ_疾患データ登録</v>
      </c>
    </row>
    <row r="57" spans="2:23" ht="18.75" customHeight="1">
      <c r="B57" s="43" t="s">
        <v>159</v>
      </c>
      <c r="C57" s="105" t="str">
        <f>C59&amp;"テーブルから組入れ条件の第一条件で絞り込んだ結果を"&amp;R59&amp;"テーブルに格納する。"</f>
        <v>疾患データテーブルから組入れ条件の第一条件で絞り込んだ結果をバックアップ_疾患データテーブルに格納する。</v>
      </c>
      <c r="D57" s="106"/>
      <c r="E57" s="106"/>
      <c r="F57" s="106"/>
      <c r="G57" s="106"/>
      <c r="H57" s="106"/>
      <c r="I57" s="106"/>
      <c r="J57" s="106"/>
      <c r="K57" s="106"/>
      <c r="L57" s="106"/>
      <c r="M57" s="106"/>
      <c r="N57" s="106"/>
      <c r="O57" s="106"/>
      <c r="P57" s="106"/>
      <c r="Q57" s="106"/>
      <c r="R57" s="106"/>
      <c r="S57" s="106"/>
      <c r="T57" s="106"/>
      <c r="U57" s="107"/>
      <c r="W57" s="35" t="str">
        <f>"-- "&amp;C57</f>
        <v>-- 疾患データテーブルから組入れ条件の第一条件で絞り込んだ結果をバックアップ_疾患データテーブルに格納する。</v>
      </c>
    </row>
    <row r="59" spans="2:23" ht="18.75" customHeight="1">
      <c r="C59" s="96" t="s">
        <v>3532</v>
      </c>
      <c r="D59" s="97"/>
      <c r="E59" s="108" t="s">
        <v>162</v>
      </c>
      <c r="H59" s="36"/>
      <c r="I59" s="36"/>
      <c r="J59" s="36"/>
      <c r="K59" s="36"/>
      <c r="L59" s="36"/>
      <c r="M59" s="36"/>
      <c r="N59" s="36"/>
      <c r="O59" s="36"/>
      <c r="P59" s="36"/>
      <c r="Q59" s="36"/>
      <c r="R59" s="96" t="str">
        <f>"バックアップ_"&amp;SUBSTITUTE(C59,"_結合","")</f>
        <v>バックアップ_疾患データ</v>
      </c>
      <c r="S59" s="97"/>
      <c r="T59" s="100" t="str">
        <f>エンティティ一覧!$O$2</f>
        <v>milscm_2023_010</v>
      </c>
    </row>
    <row r="60" spans="2:23" ht="18.75" customHeight="1">
      <c r="C60" s="98"/>
      <c r="D60" s="99"/>
      <c r="E60" s="109"/>
      <c r="F60" s="37"/>
      <c r="G60" s="38"/>
      <c r="H60" s="37"/>
      <c r="I60" s="37"/>
      <c r="J60" s="37"/>
      <c r="K60" s="37"/>
      <c r="L60" s="37"/>
      <c r="M60" s="37"/>
      <c r="N60" s="37"/>
      <c r="O60" s="37"/>
      <c r="P60" s="37"/>
      <c r="Q60" s="37"/>
      <c r="R60" s="98"/>
      <c r="S60" s="99"/>
      <c r="T60" s="101"/>
    </row>
    <row r="61" spans="2:23" ht="18.75" customHeight="1">
      <c r="F61" s="39"/>
      <c r="G61" s="40"/>
    </row>
    <row r="62" spans="2:23" ht="18.75" customHeight="1">
      <c r="C62" s="96" t="s">
        <v>3229</v>
      </c>
      <c r="D62" s="97"/>
      <c r="E62" s="100" t="str">
        <f>エンティティ一覧!$O$2</f>
        <v>milscm_2023_010</v>
      </c>
      <c r="G62" s="41"/>
    </row>
    <row r="63" spans="2:23" ht="18.75" customHeight="1">
      <c r="C63" s="98"/>
      <c r="D63" s="99"/>
      <c r="E63" s="101"/>
      <c r="F63" s="37"/>
    </row>
    <row r="65" spans="2:23" ht="18.75" customHeight="1" thickBot="1">
      <c r="B65" s="42"/>
      <c r="C65" s="42"/>
      <c r="D65" s="42"/>
      <c r="E65" s="42"/>
      <c r="F65" s="42"/>
      <c r="G65" s="42"/>
      <c r="H65" s="42"/>
      <c r="I65" s="42"/>
      <c r="J65" s="42"/>
      <c r="K65" s="42"/>
      <c r="L65" s="42"/>
      <c r="M65" s="42"/>
      <c r="N65" s="42"/>
      <c r="O65" s="42"/>
      <c r="P65" s="42"/>
      <c r="Q65" s="42"/>
      <c r="R65" s="42"/>
      <c r="S65" s="42"/>
      <c r="T65" s="42"/>
      <c r="U65" s="42"/>
    </row>
    <row r="67" spans="2:23" ht="18.75" customHeight="1">
      <c r="B67" s="43" t="s">
        <v>163</v>
      </c>
      <c r="C67" s="51" t="s">
        <v>3533</v>
      </c>
      <c r="D67" s="90"/>
      <c r="W67" s="35" t="str">
        <f>"-- "&amp;B67&amp;" : "&amp;C67</f>
        <v>-- SQL_ID : 01_A1-05</v>
      </c>
    </row>
    <row r="68" spans="2:23" ht="18.75" customHeight="1">
      <c r="B68" s="43" t="s">
        <v>158</v>
      </c>
      <c r="C68" s="102" t="str">
        <f>R71&amp;"登録"</f>
        <v>バックアップ_疾患診療科データ登録</v>
      </c>
      <c r="D68" s="103"/>
      <c r="E68" s="103"/>
      <c r="F68" s="103"/>
      <c r="G68" s="103"/>
      <c r="H68" s="103"/>
      <c r="I68" s="103"/>
      <c r="J68" s="103"/>
      <c r="K68" s="103"/>
      <c r="L68" s="103"/>
      <c r="M68" s="103"/>
      <c r="N68" s="103"/>
      <c r="O68" s="103"/>
      <c r="P68" s="103"/>
      <c r="Q68" s="103"/>
      <c r="R68" s="103"/>
      <c r="S68" s="103"/>
      <c r="T68" s="103"/>
      <c r="U68" s="104"/>
      <c r="W68" s="35" t="str">
        <f>"-- "&amp;C68</f>
        <v>-- バックアップ_疾患診療科データ登録</v>
      </c>
    </row>
    <row r="69" spans="2:23" ht="18.75" customHeight="1">
      <c r="B69" s="43" t="s">
        <v>159</v>
      </c>
      <c r="C69" s="105" t="str">
        <f>C71&amp;"テーブルから組入れ条件の第一条件で絞り込んだ結果を"&amp;R71&amp;"テーブルに格納する。"</f>
        <v>疾患診療科データテーブルから組入れ条件の第一条件で絞り込んだ結果をバックアップ_疾患診療科データテーブルに格納する。</v>
      </c>
      <c r="D69" s="106"/>
      <c r="E69" s="106"/>
      <c r="F69" s="106"/>
      <c r="G69" s="106"/>
      <c r="H69" s="106"/>
      <c r="I69" s="106"/>
      <c r="J69" s="106"/>
      <c r="K69" s="106"/>
      <c r="L69" s="106"/>
      <c r="M69" s="106"/>
      <c r="N69" s="106"/>
      <c r="O69" s="106"/>
      <c r="P69" s="106"/>
      <c r="Q69" s="106"/>
      <c r="R69" s="106"/>
      <c r="S69" s="106"/>
      <c r="T69" s="106"/>
      <c r="U69" s="107"/>
      <c r="W69" s="35" t="str">
        <f>"-- "&amp;C69</f>
        <v>-- 疾患診療科データテーブルから組入れ条件の第一条件で絞り込んだ結果をバックアップ_疾患診療科データテーブルに格納する。</v>
      </c>
    </row>
    <row r="71" spans="2:23" ht="18.75" customHeight="1">
      <c r="C71" s="96" t="s">
        <v>3534</v>
      </c>
      <c r="D71" s="97"/>
      <c r="E71" s="108" t="s">
        <v>162</v>
      </c>
      <c r="F71" s="36"/>
      <c r="G71" s="36"/>
      <c r="H71" s="36"/>
      <c r="I71" s="36"/>
      <c r="J71" s="36"/>
      <c r="K71" s="36"/>
      <c r="L71" s="36"/>
      <c r="M71" s="36"/>
      <c r="N71" s="36"/>
      <c r="O71" s="36"/>
      <c r="P71" s="36"/>
      <c r="Q71" s="36"/>
      <c r="R71" s="96" t="str">
        <f>"バックアップ_"&amp;SUBSTITUTE(C71,"_結合","")</f>
        <v>バックアップ_疾患診療科データ</v>
      </c>
      <c r="S71" s="97"/>
      <c r="T71" s="100" t="str">
        <f>エンティティ一覧!$O$2</f>
        <v>milscm_2023_010</v>
      </c>
    </row>
    <row r="72" spans="2:23" ht="18.75" customHeight="1">
      <c r="C72" s="98"/>
      <c r="D72" s="99"/>
      <c r="E72" s="109"/>
      <c r="F72" s="37"/>
      <c r="G72" s="37"/>
      <c r="H72" s="37"/>
      <c r="I72" s="37"/>
      <c r="J72" s="37"/>
      <c r="K72" s="37"/>
      <c r="L72" s="37"/>
      <c r="M72" s="37"/>
      <c r="N72" s="37"/>
      <c r="O72" s="37"/>
      <c r="P72" s="37"/>
      <c r="Q72" s="37"/>
      <c r="R72" s="98"/>
      <c r="S72" s="99"/>
      <c r="T72" s="101"/>
    </row>
    <row r="74" spans="2:23" ht="18.75" customHeight="1" thickBot="1">
      <c r="B74" s="42"/>
      <c r="C74" s="42"/>
      <c r="D74" s="42"/>
      <c r="E74" s="42"/>
      <c r="F74" s="42"/>
      <c r="G74" s="42"/>
      <c r="H74" s="42"/>
      <c r="I74" s="42"/>
      <c r="J74" s="42"/>
      <c r="K74" s="42"/>
      <c r="L74" s="42"/>
      <c r="M74" s="42"/>
      <c r="N74" s="42"/>
      <c r="O74" s="42"/>
      <c r="P74" s="42"/>
      <c r="Q74" s="42"/>
      <c r="R74" s="42"/>
      <c r="S74" s="42"/>
      <c r="T74" s="42"/>
      <c r="U74" s="42"/>
    </row>
    <row r="76" spans="2:23" ht="18.75" customHeight="1">
      <c r="B76" s="43" t="s">
        <v>163</v>
      </c>
      <c r="C76" s="51" t="s">
        <v>3535</v>
      </c>
      <c r="D76" s="90"/>
      <c r="W76" s="35" t="str">
        <f>"-- "&amp;B76&amp;" : "&amp;C76</f>
        <v>-- SQL_ID : 01_A1-06</v>
      </c>
    </row>
    <row r="77" spans="2:23" ht="18.75" customHeight="1">
      <c r="B77" s="43" t="s">
        <v>158</v>
      </c>
      <c r="C77" s="102" t="str">
        <f>R80&amp;"登録"</f>
        <v>バックアップ_入院退院データ登録</v>
      </c>
      <c r="D77" s="103"/>
      <c r="E77" s="103"/>
      <c r="F77" s="103"/>
      <c r="G77" s="103"/>
      <c r="H77" s="103"/>
      <c r="I77" s="103"/>
      <c r="J77" s="103"/>
      <c r="K77" s="103"/>
      <c r="L77" s="103"/>
      <c r="M77" s="103"/>
      <c r="N77" s="103"/>
      <c r="O77" s="103"/>
      <c r="P77" s="103"/>
      <c r="Q77" s="103"/>
      <c r="R77" s="103"/>
      <c r="S77" s="103"/>
      <c r="T77" s="103"/>
      <c r="U77" s="104"/>
      <c r="W77" s="35" t="str">
        <f>"-- "&amp;C77</f>
        <v>-- バックアップ_入院退院データ登録</v>
      </c>
    </row>
    <row r="78" spans="2:23" ht="18.75" customHeight="1">
      <c r="B78" s="43" t="s">
        <v>159</v>
      </c>
      <c r="C78" s="105" t="str">
        <f>C80&amp;"テーブルから組入れ条件の第一条件で絞り込んだ結果を"&amp;R80&amp;"テーブルに格納する。"</f>
        <v>入院退院データテーブルから組入れ条件の第一条件で絞り込んだ結果をバックアップ_入院退院データテーブルに格納する。</v>
      </c>
      <c r="D78" s="106"/>
      <c r="E78" s="106"/>
      <c r="F78" s="106"/>
      <c r="G78" s="106"/>
      <c r="H78" s="106"/>
      <c r="I78" s="106"/>
      <c r="J78" s="106"/>
      <c r="K78" s="106"/>
      <c r="L78" s="106"/>
      <c r="M78" s="106"/>
      <c r="N78" s="106"/>
      <c r="O78" s="106"/>
      <c r="P78" s="106"/>
      <c r="Q78" s="106"/>
      <c r="R78" s="106"/>
      <c r="S78" s="106"/>
      <c r="T78" s="106"/>
      <c r="U78" s="107"/>
      <c r="W78" s="35" t="str">
        <f>"-- "&amp;C78</f>
        <v>-- 入院退院データテーブルから組入れ条件の第一条件で絞り込んだ結果をバックアップ_入院退院データテーブルに格納する。</v>
      </c>
    </row>
    <row r="80" spans="2:23" ht="18.75" customHeight="1">
      <c r="C80" s="96" t="s">
        <v>3536</v>
      </c>
      <c r="D80" s="97"/>
      <c r="E80" s="108" t="s">
        <v>162</v>
      </c>
      <c r="H80" s="36"/>
      <c r="I80" s="36"/>
      <c r="J80" s="36"/>
      <c r="K80" s="36"/>
      <c r="L80" s="36"/>
      <c r="M80" s="36"/>
      <c r="N80" s="36"/>
      <c r="O80" s="36"/>
      <c r="P80" s="36"/>
      <c r="Q80" s="36"/>
      <c r="R80" s="96" t="str">
        <f>"バックアップ_"&amp;SUBSTITUTE(C80,"_結合","")</f>
        <v>バックアップ_入院退院データ</v>
      </c>
      <c r="S80" s="97"/>
      <c r="T80" s="100" t="str">
        <f>エンティティ一覧!$O$2</f>
        <v>milscm_2023_010</v>
      </c>
    </row>
    <row r="81" spans="2:23" ht="18.75" customHeight="1">
      <c r="C81" s="98"/>
      <c r="D81" s="99"/>
      <c r="E81" s="109"/>
      <c r="F81" s="37"/>
      <c r="G81" s="38"/>
      <c r="H81" s="37"/>
      <c r="I81" s="37"/>
      <c r="J81" s="37"/>
      <c r="K81" s="37"/>
      <c r="L81" s="37"/>
      <c r="M81" s="37"/>
      <c r="N81" s="37"/>
      <c r="O81" s="37"/>
      <c r="P81" s="37"/>
      <c r="Q81" s="37"/>
      <c r="R81" s="98"/>
      <c r="S81" s="99"/>
      <c r="T81" s="101"/>
    </row>
    <row r="82" spans="2:23" ht="18.75" customHeight="1">
      <c r="F82" s="39"/>
      <c r="G82" s="40"/>
    </row>
    <row r="83" spans="2:23" ht="18.75" customHeight="1">
      <c r="C83" s="96" t="s">
        <v>3229</v>
      </c>
      <c r="D83" s="97"/>
      <c r="E83" s="100" t="str">
        <f>エンティティ一覧!$O$2</f>
        <v>milscm_2023_010</v>
      </c>
      <c r="G83" s="41"/>
    </row>
    <row r="84" spans="2:23" ht="18.75" customHeight="1">
      <c r="C84" s="98"/>
      <c r="D84" s="99"/>
      <c r="E84" s="101"/>
      <c r="F84" s="37"/>
    </row>
    <row r="86" spans="2:23" ht="18.75" customHeight="1" thickBot="1">
      <c r="B86" s="42"/>
      <c r="C86" s="42"/>
      <c r="D86" s="42"/>
      <c r="E86" s="42"/>
      <c r="F86" s="42"/>
      <c r="G86" s="42"/>
      <c r="H86" s="42"/>
      <c r="I86" s="42"/>
      <c r="J86" s="42"/>
      <c r="K86" s="42"/>
      <c r="L86" s="42"/>
      <c r="M86" s="42"/>
      <c r="N86" s="42"/>
      <c r="O86" s="42"/>
      <c r="P86" s="42"/>
      <c r="Q86" s="42"/>
      <c r="R86" s="42"/>
      <c r="S86" s="42"/>
      <c r="T86" s="42"/>
      <c r="U86" s="42"/>
    </row>
    <row r="88" spans="2:23" ht="18.75" customHeight="1">
      <c r="B88" s="43" t="s">
        <v>163</v>
      </c>
      <c r="C88" s="51" t="s">
        <v>3537</v>
      </c>
      <c r="D88" s="90"/>
      <c r="W88" s="35" t="str">
        <f>"-- "&amp;B88&amp;" : "&amp;C88</f>
        <v>-- SQL_ID : 01_A1-07</v>
      </c>
    </row>
    <row r="89" spans="2:23" ht="18.75" customHeight="1">
      <c r="B89" s="43" t="s">
        <v>158</v>
      </c>
      <c r="C89" s="102" t="str">
        <f>R92&amp;"登録"</f>
        <v>バックアップ_二次利用DB登録患者データ登録</v>
      </c>
      <c r="D89" s="103"/>
      <c r="E89" s="103"/>
      <c r="F89" s="103"/>
      <c r="G89" s="103"/>
      <c r="H89" s="103"/>
      <c r="I89" s="103"/>
      <c r="J89" s="103"/>
      <c r="K89" s="103"/>
      <c r="L89" s="103"/>
      <c r="M89" s="103"/>
      <c r="N89" s="103"/>
      <c r="O89" s="103"/>
      <c r="P89" s="103"/>
      <c r="Q89" s="103"/>
      <c r="R89" s="103"/>
      <c r="S89" s="103"/>
      <c r="T89" s="103"/>
      <c r="U89" s="104"/>
      <c r="W89" s="35" t="str">
        <f>"-- "&amp;C89</f>
        <v>-- バックアップ_二次利用DB登録患者データ登録</v>
      </c>
    </row>
    <row r="90" spans="2:23" ht="18.75" customHeight="1">
      <c r="B90" s="43" t="s">
        <v>159</v>
      </c>
      <c r="C90" s="105" t="str">
        <f>C92&amp;"テーブルから組入れ条件の第一条件で絞り込んだ結果を"&amp;R92&amp;"テーブルに格納する。"</f>
        <v>二次利用DB登録患者データテーブルから組入れ条件の第一条件で絞り込んだ結果をバックアップ_二次利用DB登録患者データテーブルに格納する。</v>
      </c>
      <c r="D90" s="106"/>
      <c r="E90" s="106"/>
      <c r="F90" s="106"/>
      <c r="G90" s="106"/>
      <c r="H90" s="106"/>
      <c r="I90" s="106"/>
      <c r="J90" s="106"/>
      <c r="K90" s="106"/>
      <c r="L90" s="106"/>
      <c r="M90" s="106"/>
      <c r="N90" s="106"/>
      <c r="O90" s="106"/>
      <c r="P90" s="106"/>
      <c r="Q90" s="106"/>
      <c r="R90" s="106"/>
      <c r="S90" s="106"/>
      <c r="T90" s="106"/>
      <c r="U90" s="107"/>
      <c r="W90" s="35" t="str">
        <f>"-- "&amp;C90</f>
        <v>-- 二次利用DB登録患者データテーブルから組入れ条件の第一条件で絞り込んだ結果をバックアップ_二次利用DB登録患者データテーブルに格納する。</v>
      </c>
    </row>
    <row r="92" spans="2:23" ht="18.75" customHeight="1">
      <c r="C92" s="96" t="s">
        <v>3538</v>
      </c>
      <c r="D92" s="97"/>
      <c r="E92" s="108" t="s">
        <v>162</v>
      </c>
      <c r="H92" s="36"/>
      <c r="I92" s="36"/>
      <c r="J92" s="36"/>
      <c r="K92" s="36"/>
      <c r="L92" s="36"/>
      <c r="M92" s="36"/>
      <c r="N92" s="36"/>
      <c r="O92" s="36"/>
      <c r="P92" s="36"/>
      <c r="Q92" s="36"/>
      <c r="R92" s="96" t="str">
        <f>"バックアップ_"&amp;SUBSTITUTE(C92,"_結合","")</f>
        <v>バックアップ_二次利用DB登録患者データ</v>
      </c>
      <c r="S92" s="97"/>
      <c r="T92" s="100" t="str">
        <f>エンティティ一覧!$O$2</f>
        <v>milscm_2023_010</v>
      </c>
    </row>
    <row r="93" spans="2:23" ht="18.75" customHeight="1">
      <c r="C93" s="98"/>
      <c r="D93" s="99"/>
      <c r="E93" s="109"/>
      <c r="F93" s="37"/>
      <c r="G93" s="38"/>
      <c r="H93" s="37"/>
      <c r="I93" s="37"/>
      <c r="J93" s="37"/>
      <c r="K93" s="37"/>
      <c r="L93" s="37"/>
      <c r="M93" s="37"/>
      <c r="N93" s="37"/>
      <c r="O93" s="37"/>
      <c r="P93" s="37"/>
      <c r="Q93" s="37"/>
      <c r="R93" s="98"/>
      <c r="S93" s="99"/>
      <c r="T93" s="101"/>
    </row>
    <row r="94" spans="2:23" ht="18.75" customHeight="1">
      <c r="F94" s="39"/>
      <c r="G94" s="40"/>
    </row>
    <row r="95" spans="2:23" ht="18.75" customHeight="1">
      <c r="C95" s="96" t="s">
        <v>3229</v>
      </c>
      <c r="D95" s="97"/>
      <c r="E95" s="100" t="str">
        <f>エンティティ一覧!$O$2</f>
        <v>milscm_2023_010</v>
      </c>
      <c r="G95" s="41"/>
    </row>
    <row r="96" spans="2:23" ht="18.75" customHeight="1">
      <c r="C96" s="98"/>
      <c r="D96" s="99"/>
      <c r="E96" s="101"/>
      <c r="F96" s="37"/>
    </row>
    <row r="98" spans="2:23" ht="18.75" customHeight="1" thickBot="1">
      <c r="B98" s="42"/>
      <c r="C98" s="42"/>
      <c r="D98" s="42"/>
      <c r="E98" s="42"/>
      <c r="F98" s="42"/>
      <c r="G98" s="42"/>
      <c r="H98" s="42"/>
      <c r="I98" s="42"/>
      <c r="J98" s="42"/>
      <c r="K98" s="42"/>
      <c r="L98" s="42"/>
      <c r="M98" s="42"/>
      <c r="N98" s="42"/>
      <c r="O98" s="42"/>
      <c r="P98" s="42"/>
      <c r="Q98" s="42"/>
      <c r="R98" s="42"/>
      <c r="S98" s="42"/>
      <c r="T98" s="42"/>
      <c r="U98" s="42"/>
    </row>
    <row r="100" spans="2:23" ht="18.75" customHeight="1">
      <c r="B100" s="43" t="s">
        <v>163</v>
      </c>
      <c r="C100" s="51" t="s">
        <v>3539</v>
      </c>
      <c r="D100" s="90"/>
      <c r="W100" s="35" t="str">
        <f>"-- "&amp;B100&amp;" : "&amp;C100</f>
        <v>-- SQL_ID : 01_A1-08</v>
      </c>
    </row>
    <row r="101" spans="2:23" ht="18.75" customHeight="1">
      <c r="B101" s="43" t="s">
        <v>158</v>
      </c>
      <c r="C101" s="102" t="str">
        <f>R104&amp;"登録"</f>
        <v>バックアップ_二次利用DB登録患者データ_DPC登録</v>
      </c>
      <c r="D101" s="103"/>
      <c r="E101" s="103"/>
      <c r="F101" s="103"/>
      <c r="G101" s="103"/>
      <c r="H101" s="103"/>
      <c r="I101" s="103"/>
      <c r="J101" s="103"/>
      <c r="K101" s="103"/>
      <c r="L101" s="103"/>
      <c r="M101" s="103"/>
      <c r="N101" s="103"/>
      <c r="O101" s="103"/>
      <c r="P101" s="103"/>
      <c r="Q101" s="103"/>
      <c r="R101" s="103"/>
      <c r="S101" s="103"/>
      <c r="T101" s="103"/>
      <c r="U101" s="104"/>
      <c r="W101" s="35" t="str">
        <f>"-- "&amp;C101</f>
        <v>-- バックアップ_二次利用DB登録患者データ_DPC登録</v>
      </c>
    </row>
    <row r="102" spans="2:23" ht="18.75" customHeight="1">
      <c r="B102" s="43" t="s">
        <v>159</v>
      </c>
      <c r="C102" s="105" t="str">
        <f>C104&amp;"テーブルから組入れ条件の第一条件で絞り込んだ結果を"&amp;R104&amp;"テーブルに格納する。"</f>
        <v>二次利用DB登録患者データ_DPCテーブルから組入れ条件の第一条件で絞り込んだ結果をバックアップ_二次利用DB登録患者データ_DPCテーブルに格納する。</v>
      </c>
      <c r="D102" s="106"/>
      <c r="E102" s="106"/>
      <c r="F102" s="106"/>
      <c r="G102" s="106"/>
      <c r="H102" s="106"/>
      <c r="I102" s="106"/>
      <c r="J102" s="106"/>
      <c r="K102" s="106"/>
      <c r="L102" s="106"/>
      <c r="M102" s="106"/>
      <c r="N102" s="106"/>
      <c r="O102" s="106"/>
      <c r="P102" s="106"/>
      <c r="Q102" s="106"/>
      <c r="R102" s="106"/>
      <c r="S102" s="106"/>
      <c r="T102" s="106"/>
      <c r="U102" s="107"/>
      <c r="W102" s="35" t="str">
        <f>"-- "&amp;C102</f>
        <v>-- 二次利用DB登録患者データ_DPCテーブルから組入れ条件の第一条件で絞り込んだ結果をバックアップ_二次利用DB登録患者データ_DPCテーブルに格納する。</v>
      </c>
    </row>
    <row r="104" spans="2:23" ht="18.75" customHeight="1">
      <c r="C104" s="96" t="s">
        <v>3540</v>
      </c>
      <c r="D104" s="97"/>
      <c r="E104" s="108" t="s">
        <v>162</v>
      </c>
      <c r="H104" s="36"/>
      <c r="I104" s="36"/>
      <c r="J104" s="36"/>
      <c r="K104" s="36"/>
      <c r="L104" s="36"/>
      <c r="M104" s="36"/>
      <c r="N104" s="36"/>
      <c r="O104" s="36"/>
      <c r="P104" s="36"/>
      <c r="Q104" s="36"/>
      <c r="R104" s="96" t="str">
        <f>"バックアップ_"&amp;SUBSTITUTE(C104,"_結合","")</f>
        <v>バックアップ_二次利用DB登録患者データ_DPC</v>
      </c>
      <c r="S104" s="97"/>
      <c r="T104" s="100" t="str">
        <f>エンティティ一覧!$O$2</f>
        <v>milscm_2023_010</v>
      </c>
    </row>
    <row r="105" spans="2:23" ht="18.75" customHeight="1">
      <c r="C105" s="98"/>
      <c r="D105" s="99"/>
      <c r="E105" s="109"/>
      <c r="F105" s="37"/>
      <c r="G105" s="38"/>
      <c r="H105" s="37"/>
      <c r="I105" s="37"/>
      <c r="J105" s="37"/>
      <c r="K105" s="37"/>
      <c r="L105" s="37"/>
      <c r="M105" s="37"/>
      <c r="N105" s="37"/>
      <c r="O105" s="37"/>
      <c r="P105" s="37"/>
      <c r="Q105" s="37"/>
      <c r="R105" s="98"/>
      <c r="S105" s="99"/>
      <c r="T105" s="101"/>
    </row>
    <row r="106" spans="2:23" ht="18.75" customHeight="1">
      <c r="F106" s="39"/>
      <c r="G106" s="40"/>
    </row>
    <row r="107" spans="2:23" ht="18.75" customHeight="1">
      <c r="C107" s="96" t="s">
        <v>3229</v>
      </c>
      <c r="D107" s="97"/>
      <c r="E107" s="100" t="str">
        <f>エンティティ一覧!$O$2</f>
        <v>milscm_2023_010</v>
      </c>
      <c r="G107" s="41"/>
    </row>
    <row r="108" spans="2:23" ht="18.75" customHeight="1">
      <c r="C108" s="98"/>
      <c r="D108" s="99"/>
      <c r="E108" s="101"/>
      <c r="F108" s="37"/>
    </row>
    <row r="110" spans="2:23" ht="18.75" customHeight="1" thickBot="1">
      <c r="B110" s="42"/>
      <c r="C110" s="42"/>
      <c r="D110" s="42"/>
      <c r="E110" s="42"/>
      <c r="F110" s="42"/>
      <c r="G110" s="42"/>
      <c r="H110" s="42"/>
      <c r="I110" s="42"/>
      <c r="J110" s="42"/>
      <c r="K110" s="42"/>
      <c r="L110" s="42"/>
      <c r="M110" s="42"/>
      <c r="N110" s="42"/>
      <c r="O110" s="42"/>
      <c r="P110" s="42"/>
      <c r="Q110" s="42"/>
      <c r="R110" s="42"/>
      <c r="S110" s="42"/>
      <c r="T110" s="42"/>
      <c r="U110" s="42"/>
    </row>
    <row r="112" spans="2:23" ht="18.75" customHeight="1">
      <c r="B112" s="43" t="s">
        <v>163</v>
      </c>
      <c r="C112" s="51" t="s">
        <v>3541</v>
      </c>
      <c r="D112" s="90"/>
      <c r="W112" s="35" t="str">
        <f>"-- "&amp;B112&amp;" : "&amp;C112</f>
        <v>-- SQL_ID : 01_A1-09</v>
      </c>
    </row>
    <row r="113" spans="2:23" ht="18.75" customHeight="1">
      <c r="B113" s="43" t="s">
        <v>158</v>
      </c>
      <c r="C113" s="102" t="str">
        <f>R116&amp;"登録"</f>
        <v>バックアップ_二次利用DB登録患者データ_レセプト登録</v>
      </c>
      <c r="D113" s="103"/>
      <c r="E113" s="103"/>
      <c r="F113" s="103"/>
      <c r="G113" s="103"/>
      <c r="H113" s="103"/>
      <c r="I113" s="103"/>
      <c r="J113" s="103"/>
      <c r="K113" s="103"/>
      <c r="L113" s="103"/>
      <c r="M113" s="103"/>
      <c r="N113" s="103"/>
      <c r="O113" s="103"/>
      <c r="P113" s="103"/>
      <c r="Q113" s="103"/>
      <c r="R113" s="103"/>
      <c r="S113" s="103"/>
      <c r="T113" s="103"/>
      <c r="U113" s="104"/>
      <c r="W113" s="35" t="str">
        <f>"-- "&amp;C113</f>
        <v>-- バックアップ_二次利用DB登録患者データ_レセプト登録</v>
      </c>
    </row>
    <row r="114" spans="2:23" ht="18.75" customHeight="1">
      <c r="B114" s="43" t="s">
        <v>159</v>
      </c>
      <c r="C114" s="105" t="str">
        <f>C116&amp;"テーブルから組入れ条件の第一条件で絞り込んだ結果を"&amp;R116&amp;"テーブルに格納する。"</f>
        <v>二次利用DB登録患者データ_レセプトテーブルから組入れ条件の第一条件で絞り込んだ結果をバックアップ_二次利用DB登録患者データ_レセプトテーブルに格納する。</v>
      </c>
      <c r="D114" s="106"/>
      <c r="E114" s="106"/>
      <c r="F114" s="106"/>
      <c r="G114" s="106"/>
      <c r="H114" s="106"/>
      <c r="I114" s="106"/>
      <c r="J114" s="106"/>
      <c r="K114" s="106"/>
      <c r="L114" s="106"/>
      <c r="M114" s="106"/>
      <c r="N114" s="106"/>
      <c r="O114" s="106"/>
      <c r="P114" s="106"/>
      <c r="Q114" s="106"/>
      <c r="R114" s="106"/>
      <c r="S114" s="106"/>
      <c r="T114" s="106"/>
      <c r="U114" s="107"/>
      <c r="W114" s="35" t="str">
        <f>"-- "&amp;C114</f>
        <v>-- 二次利用DB登録患者データ_レセプトテーブルから組入れ条件の第一条件で絞り込んだ結果をバックアップ_二次利用DB登録患者データ_レセプトテーブルに格納する。</v>
      </c>
    </row>
    <row r="116" spans="2:23" ht="18.75" customHeight="1">
      <c r="C116" s="96" t="s">
        <v>3542</v>
      </c>
      <c r="D116" s="97"/>
      <c r="E116" s="108" t="s">
        <v>162</v>
      </c>
      <c r="H116" s="36"/>
      <c r="I116" s="36"/>
      <c r="J116" s="36"/>
      <c r="K116" s="36"/>
      <c r="L116" s="36"/>
      <c r="M116" s="36"/>
      <c r="N116" s="36"/>
      <c r="O116" s="36"/>
      <c r="P116" s="36"/>
      <c r="Q116" s="36"/>
      <c r="R116" s="96" t="str">
        <f>"バックアップ_"&amp;SUBSTITUTE(C116,"_結合","")</f>
        <v>バックアップ_二次利用DB登録患者データ_レセプト</v>
      </c>
      <c r="S116" s="97"/>
      <c r="T116" s="100" t="str">
        <f>エンティティ一覧!$O$2</f>
        <v>milscm_2023_010</v>
      </c>
    </row>
    <row r="117" spans="2:23" ht="18.75" customHeight="1">
      <c r="C117" s="98"/>
      <c r="D117" s="99"/>
      <c r="E117" s="109"/>
      <c r="F117" s="37"/>
      <c r="G117" s="38"/>
      <c r="H117" s="37"/>
      <c r="I117" s="37"/>
      <c r="J117" s="37"/>
      <c r="K117" s="37"/>
      <c r="L117" s="37"/>
      <c r="M117" s="37"/>
      <c r="N117" s="37"/>
      <c r="O117" s="37"/>
      <c r="P117" s="37"/>
      <c r="Q117" s="37"/>
      <c r="R117" s="98"/>
      <c r="S117" s="99"/>
      <c r="T117" s="101"/>
    </row>
    <row r="118" spans="2:23" ht="18.75" customHeight="1">
      <c r="F118" s="39"/>
      <c r="G118" s="40"/>
    </row>
    <row r="119" spans="2:23" ht="18.75" customHeight="1">
      <c r="C119" s="96" t="s">
        <v>3229</v>
      </c>
      <c r="D119" s="97"/>
      <c r="E119" s="100" t="str">
        <f>エンティティ一覧!$O$2</f>
        <v>milscm_2023_010</v>
      </c>
      <c r="G119" s="41"/>
    </row>
    <row r="120" spans="2:23" ht="18.75" customHeight="1">
      <c r="C120" s="98"/>
      <c r="D120" s="99"/>
      <c r="E120" s="101"/>
      <c r="F120" s="37"/>
    </row>
    <row r="122" spans="2:23" ht="18.75" customHeight="1" thickBot="1">
      <c r="B122" s="42"/>
      <c r="C122" s="42"/>
      <c r="D122" s="42"/>
      <c r="E122" s="42"/>
      <c r="F122" s="42"/>
      <c r="G122" s="42"/>
      <c r="H122" s="42"/>
      <c r="I122" s="42"/>
      <c r="J122" s="42"/>
      <c r="K122" s="42"/>
      <c r="L122" s="42"/>
      <c r="M122" s="42"/>
      <c r="N122" s="42"/>
      <c r="O122" s="42"/>
      <c r="P122" s="42"/>
      <c r="Q122" s="42"/>
      <c r="R122" s="42"/>
      <c r="S122" s="42"/>
      <c r="T122" s="42"/>
      <c r="U122" s="42"/>
    </row>
    <row r="124" spans="2:23" ht="18.75" customHeight="1">
      <c r="B124" s="43" t="s">
        <v>163</v>
      </c>
      <c r="C124" s="51" t="s">
        <v>3543</v>
      </c>
      <c r="D124" s="90"/>
      <c r="W124" s="35" t="str">
        <f>"-- "&amp;B124&amp;" : "&amp;C124</f>
        <v>-- SQL_ID : 01_A1-10</v>
      </c>
    </row>
    <row r="125" spans="2:23" ht="18.75" customHeight="1">
      <c r="B125" s="43" t="s">
        <v>158</v>
      </c>
      <c r="C125" s="102" t="str">
        <f>R128&amp;"登録"</f>
        <v>バックアップ_二次利用DB登録患者データ_MML登録</v>
      </c>
      <c r="D125" s="103"/>
      <c r="E125" s="103"/>
      <c r="F125" s="103"/>
      <c r="G125" s="103"/>
      <c r="H125" s="103"/>
      <c r="I125" s="103"/>
      <c r="J125" s="103"/>
      <c r="K125" s="103"/>
      <c r="L125" s="103"/>
      <c r="M125" s="103"/>
      <c r="N125" s="103"/>
      <c r="O125" s="103"/>
      <c r="P125" s="103"/>
      <c r="Q125" s="103"/>
      <c r="R125" s="103"/>
      <c r="S125" s="103"/>
      <c r="T125" s="103"/>
      <c r="U125" s="104"/>
      <c r="W125" s="35" t="str">
        <f>"-- "&amp;C125</f>
        <v>-- バックアップ_二次利用DB登録患者データ_MML登録</v>
      </c>
    </row>
    <row r="126" spans="2:23" ht="18.75" customHeight="1">
      <c r="B126" s="43" t="s">
        <v>159</v>
      </c>
      <c r="C126" s="105" t="str">
        <f>C128&amp;"テーブルから組入れ条件の第一条件で絞り込んだ結果を"&amp;R128&amp;"テーブルに格納する。"</f>
        <v>二次利用DB登録患者データ_MMLテーブルから組入れ条件の第一条件で絞り込んだ結果をバックアップ_二次利用DB登録患者データ_MMLテーブルに格納する。</v>
      </c>
      <c r="D126" s="106"/>
      <c r="E126" s="106"/>
      <c r="F126" s="106"/>
      <c r="G126" s="106"/>
      <c r="H126" s="106"/>
      <c r="I126" s="106"/>
      <c r="J126" s="106"/>
      <c r="K126" s="106"/>
      <c r="L126" s="106"/>
      <c r="M126" s="106"/>
      <c r="N126" s="106"/>
      <c r="O126" s="106"/>
      <c r="P126" s="106"/>
      <c r="Q126" s="106"/>
      <c r="R126" s="106"/>
      <c r="S126" s="106"/>
      <c r="T126" s="106"/>
      <c r="U126" s="107"/>
      <c r="W126" s="35" t="str">
        <f>"-- "&amp;C126</f>
        <v>-- 二次利用DB登録患者データ_MMLテーブルから組入れ条件の第一条件で絞り込んだ結果をバックアップ_二次利用DB登録患者データ_MMLテーブルに格納する。</v>
      </c>
    </row>
    <row r="128" spans="2:23" ht="18.75" customHeight="1">
      <c r="C128" s="96" t="s">
        <v>3544</v>
      </c>
      <c r="D128" s="97"/>
      <c r="E128" s="108" t="s">
        <v>162</v>
      </c>
      <c r="H128" s="36"/>
      <c r="I128" s="36"/>
      <c r="J128" s="36"/>
      <c r="K128" s="36"/>
      <c r="L128" s="36"/>
      <c r="M128" s="36"/>
      <c r="N128" s="36"/>
      <c r="O128" s="36"/>
      <c r="P128" s="36"/>
      <c r="Q128" s="36"/>
      <c r="R128" s="96" t="str">
        <f>"バックアップ_"&amp;SUBSTITUTE(C128,"_結合","")</f>
        <v>バックアップ_二次利用DB登録患者データ_MML</v>
      </c>
      <c r="S128" s="97"/>
      <c r="T128" s="100" t="str">
        <f>エンティティ一覧!$O$2</f>
        <v>milscm_2023_010</v>
      </c>
    </row>
    <row r="129" spans="2:23" ht="18.75" customHeight="1">
      <c r="C129" s="98"/>
      <c r="D129" s="99"/>
      <c r="E129" s="109"/>
      <c r="F129" s="37"/>
      <c r="G129" s="38"/>
      <c r="H129" s="37"/>
      <c r="I129" s="37"/>
      <c r="J129" s="37"/>
      <c r="K129" s="37"/>
      <c r="L129" s="37"/>
      <c r="M129" s="37"/>
      <c r="N129" s="37"/>
      <c r="O129" s="37"/>
      <c r="P129" s="37"/>
      <c r="Q129" s="37"/>
      <c r="R129" s="98"/>
      <c r="S129" s="99"/>
      <c r="T129" s="101"/>
    </row>
    <row r="130" spans="2:23" ht="18.75" customHeight="1">
      <c r="F130" s="39"/>
      <c r="G130" s="40"/>
    </row>
    <row r="131" spans="2:23" ht="18.75" customHeight="1">
      <c r="C131" s="96" t="s">
        <v>3229</v>
      </c>
      <c r="D131" s="97"/>
      <c r="E131" s="100" t="str">
        <f>エンティティ一覧!$O$2</f>
        <v>milscm_2023_010</v>
      </c>
      <c r="G131" s="41"/>
    </row>
    <row r="132" spans="2:23" ht="18.75" customHeight="1">
      <c r="C132" s="98"/>
      <c r="D132" s="99"/>
      <c r="E132" s="101"/>
      <c r="F132" s="37"/>
    </row>
    <row r="134" spans="2:23" ht="18.75" customHeight="1" thickBot="1">
      <c r="B134" s="42"/>
      <c r="C134" s="42"/>
      <c r="D134" s="42"/>
      <c r="E134" s="42"/>
      <c r="F134" s="42"/>
      <c r="G134" s="42"/>
      <c r="H134" s="42"/>
      <c r="I134" s="42"/>
      <c r="J134" s="42"/>
      <c r="K134" s="42"/>
      <c r="L134" s="42"/>
      <c r="M134" s="42"/>
      <c r="N134" s="42"/>
      <c r="O134" s="42"/>
      <c r="P134" s="42"/>
      <c r="Q134" s="42"/>
      <c r="R134" s="42"/>
      <c r="S134" s="42"/>
      <c r="T134" s="42"/>
      <c r="U134" s="42"/>
    </row>
    <row r="136" spans="2:23" ht="18.75" customHeight="1">
      <c r="B136" s="43" t="s">
        <v>163</v>
      </c>
      <c r="C136" s="51" t="s">
        <v>3545</v>
      </c>
      <c r="D136" s="90"/>
      <c r="W136" s="35" t="str">
        <f>"-- "&amp;B136&amp;" : "&amp;C136</f>
        <v>-- SQL_ID : 01_A1-11</v>
      </c>
    </row>
    <row r="137" spans="2:23" ht="18.75" customHeight="1">
      <c r="B137" s="43" t="s">
        <v>158</v>
      </c>
      <c r="C137" s="102" t="str">
        <f>R140&amp;"登録"</f>
        <v>バックアップ_二次利用DB登録患者紐付けデータ登録</v>
      </c>
      <c r="D137" s="103"/>
      <c r="E137" s="103"/>
      <c r="F137" s="103"/>
      <c r="G137" s="103"/>
      <c r="H137" s="103"/>
      <c r="I137" s="103"/>
      <c r="J137" s="103"/>
      <c r="K137" s="103"/>
      <c r="L137" s="103"/>
      <c r="M137" s="103"/>
      <c r="N137" s="103"/>
      <c r="O137" s="103"/>
      <c r="P137" s="103"/>
      <c r="Q137" s="103"/>
      <c r="R137" s="103"/>
      <c r="S137" s="103"/>
      <c r="T137" s="103"/>
      <c r="U137" s="104"/>
      <c r="W137" s="35" t="str">
        <f>"-- "&amp;C137</f>
        <v>-- バックアップ_二次利用DB登録患者紐付けデータ登録</v>
      </c>
    </row>
    <row r="138" spans="2:23" ht="18.75" customHeight="1">
      <c r="B138" s="43" t="s">
        <v>159</v>
      </c>
      <c r="C138" s="105" t="str">
        <f>C140&amp;"テーブルから組入れ条件の第一条件で絞り込んだ結果を"&amp;R140&amp;"テーブルに格納する。"</f>
        <v>二次利用DB登録患者紐付けデータテーブルから組入れ条件の第一条件で絞り込んだ結果をバックアップ_二次利用DB登録患者紐付けデータテーブルに格納する。</v>
      </c>
      <c r="D138" s="106"/>
      <c r="E138" s="106"/>
      <c r="F138" s="106"/>
      <c r="G138" s="106"/>
      <c r="H138" s="106"/>
      <c r="I138" s="106"/>
      <c r="J138" s="106"/>
      <c r="K138" s="106"/>
      <c r="L138" s="106"/>
      <c r="M138" s="106"/>
      <c r="N138" s="106"/>
      <c r="O138" s="106"/>
      <c r="P138" s="106"/>
      <c r="Q138" s="106"/>
      <c r="R138" s="106"/>
      <c r="S138" s="106"/>
      <c r="T138" s="106"/>
      <c r="U138" s="107"/>
      <c r="W138" s="35" t="str">
        <f>"-- "&amp;C138</f>
        <v>-- 二次利用DB登録患者紐付けデータテーブルから組入れ条件の第一条件で絞り込んだ結果をバックアップ_二次利用DB登録患者紐付けデータテーブルに格納する。</v>
      </c>
    </row>
    <row r="140" spans="2:23" ht="18.75" customHeight="1">
      <c r="C140" s="96" t="s">
        <v>3546</v>
      </c>
      <c r="D140" s="97"/>
      <c r="E140" s="108" t="s">
        <v>162</v>
      </c>
      <c r="H140" s="36"/>
      <c r="I140" s="36"/>
      <c r="J140" s="36"/>
      <c r="K140" s="36"/>
      <c r="L140" s="36"/>
      <c r="M140" s="36"/>
      <c r="N140" s="36"/>
      <c r="O140" s="36"/>
      <c r="P140" s="36"/>
      <c r="Q140" s="36"/>
      <c r="R140" s="96" t="str">
        <f>"バックアップ_"&amp;SUBSTITUTE(C140,"_結合","")</f>
        <v>バックアップ_二次利用DB登録患者紐付けデータ</v>
      </c>
      <c r="S140" s="97"/>
      <c r="T140" s="100" t="str">
        <f>エンティティ一覧!$O$2</f>
        <v>milscm_2023_010</v>
      </c>
    </row>
    <row r="141" spans="2:23" ht="18.75" customHeight="1">
      <c r="C141" s="98"/>
      <c r="D141" s="99"/>
      <c r="E141" s="109"/>
      <c r="F141" s="37"/>
      <c r="G141" s="38"/>
      <c r="H141" s="37"/>
      <c r="I141" s="37"/>
      <c r="J141" s="37"/>
      <c r="K141" s="37"/>
      <c r="L141" s="37"/>
      <c r="M141" s="37"/>
      <c r="N141" s="37"/>
      <c r="O141" s="37"/>
      <c r="P141" s="37"/>
      <c r="Q141" s="37"/>
      <c r="R141" s="98"/>
      <c r="S141" s="99"/>
      <c r="T141" s="101"/>
    </row>
    <row r="142" spans="2:23" ht="18.75" customHeight="1">
      <c r="F142" s="39"/>
      <c r="G142" s="40"/>
    </row>
    <row r="143" spans="2:23" ht="18.75" customHeight="1">
      <c r="C143" s="96" t="s">
        <v>3229</v>
      </c>
      <c r="D143" s="97"/>
      <c r="E143" s="100" t="str">
        <f>エンティティ一覧!$O$2</f>
        <v>milscm_2023_010</v>
      </c>
      <c r="G143" s="41"/>
    </row>
    <row r="144" spans="2:23" ht="18.75" customHeight="1">
      <c r="C144" s="98"/>
      <c r="D144" s="99"/>
      <c r="E144" s="101"/>
      <c r="F144" s="37"/>
    </row>
    <row r="146" spans="2:23" ht="18.75" customHeight="1" thickBot="1">
      <c r="B146" s="42"/>
      <c r="C146" s="42"/>
      <c r="D146" s="42"/>
      <c r="E146" s="42"/>
      <c r="F146" s="42"/>
      <c r="G146" s="42"/>
      <c r="H146" s="42"/>
      <c r="I146" s="42"/>
      <c r="J146" s="42"/>
      <c r="K146" s="42"/>
      <c r="L146" s="42"/>
      <c r="M146" s="42"/>
      <c r="N146" s="42"/>
      <c r="O146" s="42"/>
      <c r="P146" s="42"/>
      <c r="Q146" s="42"/>
      <c r="R146" s="42"/>
      <c r="S146" s="42"/>
      <c r="T146" s="42"/>
      <c r="U146" s="42"/>
    </row>
    <row r="148" spans="2:23" ht="18.75" customHeight="1">
      <c r="B148" s="43" t="s">
        <v>163</v>
      </c>
      <c r="C148" s="51" t="s">
        <v>3547</v>
      </c>
      <c r="D148" s="90"/>
      <c r="W148" s="35" t="str">
        <f>"-- "&amp;B148&amp;" : "&amp;C148</f>
        <v>-- SQL_ID : 01_A1-13</v>
      </c>
    </row>
    <row r="149" spans="2:23" ht="18.75" customHeight="1">
      <c r="B149" s="43" t="s">
        <v>158</v>
      </c>
      <c r="C149" s="102" t="str">
        <f>R152&amp;"登録"</f>
        <v>バックアップ_エラー患者データ登録</v>
      </c>
      <c r="D149" s="103"/>
      <c r="E149" s="103"/>
      <c r="F149" s="103"/>
      <c r="G149" s="103"/>
      <c r="H149" s="103"/>
      <c r="I149" s="103"/>
      <c r="J149" s="103"/>
      <c r="K149" s="103"/>
      <c r="L149" s="103"/>
      <c r="M149" s="103"/>
      <c r="N149" s="103"/>
      <c r="O149" s="103"/>
      <c r="P149" s="103"/>
      <c r="Q149" s="103"/>
      <c r="R149" s="103"/>
      <c r="S149" s="103"/>
      <c r="T149" s="103"/>
      <c r="U149" s="104"/>
      <c r="W149" s="35" t="str">
        <f>"-- "&amp;C149</f>
        <v>-- バックアップ_エラー患者データ登録</v>
      </c>
    </row>
    <row r="150" spans="2:23" ht="18.75" customHeight="1">
      <c r="B150" s="43" t="s">
        <v>159</v>
      </c>
      <c r="C150" s="105" t="str">
        <f>C152&amp;"テーブルから組入れ条件の第一条件で絞り込んだ結果を"&amp;R152&amp;"テーブルに格納する。"</f>
        <v>エラー患者データテーブルから組入れ条件の第一条件で絞り込んだ結果をバックアップ_エラー患者データテーブルに格納する。</v>
      </c>
      <c r="D150" s="106"/>
      <c r="E150" s="106"/>
      <c r="F150" s="106"/>
      <c r="G150" s="106"/>
      <c r="H150" s="106"/>
      <c r="I150" s="106"/>
      <c r="J150" s="106"/>
      <c r="K150" s="106"/>
      <c r="L150" s="106"/>
      <c r="M150" s="106"/>
      <c r="N150" s="106"/>
      <c r="O150" s="106"/>
      <c r="P150" s="106"/>
      <c r="Q150" s="106"/>
      <c r="R150" s="106"/>
      <c r="S150" s="106"/>
      <c r="T150" s="106"/>
      <c r="U150" s="107"/>
      <c r="W150" s="35" t="str">
        <f>"-- "&amp;C150</f>
        <v>-- エラー患者データテーブルから組入れ条件の第一条件で絞り込んだ結果をバックアップ_エラー患者データテーブルに格納する。</v>
      </c>
    </row>
    <row r="152" spans="2:23" ht="18.75" customHeight="1">
      <c r="C152" s="96" t="s">
        <v>3548</v>
      </c>
      <c r="D152" s="97"/>
      <c r="E152" s="108" t="s">
        <v>162</v>
      </c>
      <c r="H152" s="36"/>
      <c r="I152" s="36"/>
      <c r="J152" s="36"/>
      <c r="K152" s="36"/>
      <c r="L152" s="36"/>
      <c r="M152" s="36"/>
      <c r="N152" s="36"/>
      <c r="O152" s="36"/>
      <c r="P152" s="36"/>
      <c r="Q152" s="36"/>
      <c r="R152" s="96" t="str">
        <f>"バックアップ_"&amp;SUBSTITUTE(C152,"_結合","")</f>
        <v>バックアップ_エラー患者データ</v>
      </c>
      <c r="S152" s="97"/>
      <c r="T152" s="100" t="str">
        <f>エンティティ一覧!$O$2</f>
        <v>milscm_2023_010</v>
      </c>
    </row>
    <row r="153" spans="2:23" ht="18.75" customHeight="1">
      <c r="C153" s="98"/>
      <c r="D153" s="99"/>
      <c r="E153" s="109"/>
      <c r="F153" s="37"/>
      <c r="G153" s="38"/>
      <c r="H153" s="37"/>
      <c r="I153" s="37"/>
      <c r="J153" s="37"/>
      <c r="K153" s="37"/>
      <c r="L153" s="37"/>
      <c r="M153" s="37"/>
      <c r="N153" s="37"/>
      <c r="O153" s="37"/>
      <c r="P153" s="37"/>
      <c r="Q153" s="37"/>
      <c r="R153" s="98"/>
      <c r="S153" s="99"/>
      <c r="T153" s="101"/>
    </row>
    <row r="154" spans="2:23" ht="18.75" customHeight="1">
      <c r="F154" s="39"/>
      <c r="G154" s="40"/>
    </row>
    <row r="155" spans="2:23" ht="18.75" customHeight="1">
      <c r="C155" s="96" t="s">
        <v>3229</v>
      </c>
      <c r="D155" s="97"/>
      <c r="E155" s="100" t="str">
        <f>エンティティ一覧!$O$2</f>
        <v>milscm_2023_010</v>
      </c>
      <c r="G155" s="41"/>
    </row>
    <row r="156" spans="2:23" ht="18.75" customHeight="1">
      <c r="C156" s="98"/>
      <c r="D156" s="99"/>
      <c r="E156" s="101"/>
      <c r="F156" s="37"/>
    </row>
    <row r="158" spans="2:23" ht="18.75" customHeight="1" thickBot="1">
      <c r="B158" s="42"/>
      <c r="C158" s="42"/>
      <c r="D158" s="42"/>
      <c r="E158" s="42"/>
      <c r="F158" s="42"/>
      <c r="G158" s="42"/>
      <c r="H158" s="42"/>
      <c r="I158" s="42"/>
      <c r="J158" s="42"/>
      <c r="K158" s="42"/>
      <c r="L158" s="42"/>
      <c r="M158" s="42"/>
      <c r="N158" s="42"/>
      <c r="O158" s="42"/>
      <c r="P158" s="42"/>
      <c r="Q158" s="42"/>
      <c r="R158" s="42"/>
      <c r="S158" s="42"/>
      <c r="T158" s="42"/>
      <c r="U158" s="42"/>
    </row>
    <row r="160" spans="2:23" ht="18.75" customHeight="1">
      <c r="B160" s="43" t="s">
        <v>163</v>
      </c>
      <c r="C160" s="51" t="s">
        <v>3549</v>
      </c>
      <c r="D160" s="90"/>
      <c r="W160" s="35" t="str">
        <f>"-- "&amp;B160&amp;" : "&amp;C160</f>
        <v>-- SQL_ID : 01_A1-14</v>
      </c>
    </row>
    <row r="161" spans="2:23" ht="18.75" customHeight="1">
      <c r="B161" s="43" t="s">
        <v>158</v>
      </c>
      <c r="C161" s="102" t="str">
        <f>R164&amp;"登録"</f>
        <v>バックアップ_患者基本データ登録</v>
      </c>
      <c r="D161" s="103"/>
      <c r="E161" s="103"/>
      <c r="F161" s="103"/>
      <c r="G161" s="103"/>
      <c r="H161" s="103"/>
      <c r="I161" s="103"/>
      <c r="J161" s="103"/>
      <c r="K161" s="103"/>
      <c r="L161" s="103"/>
      <c r="M161" s="103"/>
      <c r="N161" s="103"/>
      <c r="O161" s="103"/>
      <c r="P161" s="103"/>
      <c r="Q161" s="103"/>
      <c r="R161" s="103"/>
      <c r="S161" s="103"/>
      <c r="T161" s="103"/>
      <c r="U161" s="104"/>
      <c r="W161" s="35" t="str">
        <f>"-- "&amp;C161</f>
        <v>-- バックアップ_患者基本データ登録</v>
      </c>
    </row>
    <row r="162" spans="2:23" ht="18.75" customHeight="1">
      <c r="B162" s="43" t="s">
        <v>159</v>
      </c>
      <c r="C162" s="105" t="str">
        <f>C164&amp;"テーブルから組入れ条件の第一条件で絞り込んだ結果を"&amp;R164&amp;"テーブルに格納する。"</f>
        <v>患者基本データテーブルから組入れ条件の第一条件で絞り込んだ結果をバックアップ_患者基本データテーブルに格納する。</v>
      </c>
      <c r="D162" s="106"/>
      <c r="E162" s="106"/>
      <c r="F162" s="106"/>
      <c r="G162" s="106"/>
      <c r="H162" s="106"/>
      <c r="I162" s="106"/>
      <c r="J162" s="106"/>
      <c r="K162" s="106"/>
      <c r="L162" s="106"/>
      <c r="M162" s="106"/>
      <c r="N162" s="106"/>
      <c r="O162" s="106"/>
      <c r="P162" s="106"/>
      <c r="Q162" s="106"/>
      <c r="R162" s="106"/>
      <c r="S162" s="106"/>
      <c r="T162" s="106"/>
      <c r="U162" s="107"/>
      <c r="W162" s="35" t="str">
        <f>"-- "&amp;C162</f>
        <v>-- 患者基本データテーブルから組入れ条件の第一条件で絞り込んだ結果をバックアップ_患者基本データテーブルに格納する。</v>
      </c>
    </row>
    <row r="164" spans="2:23" ht="18.75" customHeight="1">
      <c r="C164" s="96" t="s">
        <v>3550</v>
      </c>
      <c r="D164" s="97"/>
      <c r="E164" s="108" t="s">
        <v>162</v>
      </c>
      <c r="H164" s="36"/>
      <c r="I164" s="36"/>
      <c r="J164" s="36"/>
      <c r="K164" s="36"/>
      <c r="L164" s="36"/>
      <c r="M164" s="36"/>
      <c r="N164" s="36"/>
      <c r="O164" s="36"/>
      <c r="P164" s="36"/>
      <c r="Q164" s="36"/>
      <c r="R164" s="96" t="str">
        <f>"バックアップ_"&amp;SUBSTITUTE(C164,"_結合","")</f>
        <v>バックアップ_患者基本データ</v>
      </c>
      <c r="S164" s="97"/>
      <c r="T164" s="100" t="str">
        <f>エンティティ一覧!$O$2</f>
        <v>milscm_2023_010</v>
      </c>
    </row>
    <row r="165" spans="2:23" ht="18.75" customHeight="1">
      <c r="C165" s="98"/>
      <c r="D165" s="99"/>
      <c r="E165" s="109"/>
      <c r="F165" s="37"/>
      <c r="G165" s="38"/>
      <c r="H165" s="37"/>
      <c r="I165" s="37"/>
      <c r="J165" s="37"/>
      <c r="K165" s="37"/>
      <c r="L165" s="37"/>
      <c r="M165" s="37"/>
      <c r="N165" s="37"/>
      <c r="O165" s="37"/>
      <c r="P165" s="37"/>
      <c r="Q165" s="37"/>
      <c r="R165" s="98"/>
      <c r="S165" s="99"/>
      <c r="T165" s="101"/>
    </row>
    <row r="166" spans="2:23" ht="18.75" customHeight="1">
      <c r="F166" s="39"/>
      <c r="G166" s="40"/>
    </row>
    <row r="167" spans="2:23" ht="18.75" customHeight="1">
      <c r="C167" s="96" t="s">
        <v>3229</v>
      </c>
      <c r="D167" s="97"/>
      <c r="E167" s="100" t="str">
        <f>エンティティ一覧!$O$2</f>
        <v>milscm_2023_010</v>
      </c>
      <c r="G167" s="41"/>
    </row>
    <row r="168" spans="2:23" ht="18.75" customHeight="1">
      <c r="C168" s="98"/>
      <c r="D168" s="99"/>
      <c r="E168" s="101"/>
      <c r="F168" s="37"/>
    </row>
    <row r="170" spans="2:23" ht="18.75" customHeight="1" thickBot="1">
      <c r="B170" s="42"/>
      <c r="C170" s="42"/>
      <c r="D170" s="42"/>
      <c r="E170" s="42"/>
      <c r="F170" s="42"/>
      <c r="G170" s="42"/>
      <c r="H170" s="42"/>
      <c r="I170" s="42"/>
      <c r="J170" s="42"/>
      <c r="K170" s="42"/>
      <c r="L170" s="42"/>
      <c r="M170" s="42"/>
      <c r="N170" s="42"/>
      <c r="O170" s="42"/>
      <c r="P170" s="42"/>
      <c r="Q170" s="42"/>
      <c r="R170" s="42"/>
      <c r="S170" s="42"/>
      <c r="T170" s="42"/>
      <c r="U170" s="42"/>
    </row>
    <row r="172" spans="2:23" ht="18.75" customHeight="1">
      <c r="B172" s="43" t="s">
        <v>163</v>
      </c>
      <c r="C172" s="51" t="s">
        <v>3551</v>
      </c>
      <c r="D172" s="90"/>
      <c r="W172" s="35" t="str">
        <f>"-- "&amp;B172&amp;" : "&amp;C172</f>
        <v>-- SQL_ID : 01_A3-02</v>
      </c>
    </row>
    <row r="173" spans="2:23" ht="18.75" customHeight="1">
      <c r="B173" s="43" t="s">
        <v>158</v>
      </c>
      <c r="C173" s="102" t="str">
        <f>R176&amp;"登録"</f>
        <v>バックアップ_施設属性マスタ取込用登録</v>
      </c>
      <c r="D173" s="103"/>
      <c r="E173" s="103"/>
      <c r="F173" s="103"/>
      <c r="G173" s="103"/>
      <c r="H173" s="103"/>
      <c r="I173" s="103"/>
      <c r="J173" s="103"/>
      <c r="K173" s="103"/>
      <c r="L173" s="103"/>
      <c r="M173" s="103"/>
      <c r="N173" s="103"/>
      <c r="O173" s="103"/>
      <c r="P173" s="103"/>
      <c r="Q173" s="103"/>
      <c r="R173" s="103"/>
      <c r="S173" s="103"/>
      <c r="T173" s="103"/>
      <c r="U173" s="104"/>
      <c r="W173" s="35" t="str">
        <f>"-- "&amp;C173</f>
        <v>-- バックアップ_施設属性マスタ取込用登録</v>
      </c>
    </row>
    <row r="174" spans="2:23" ht="18.75" customHeight="1">
      <c r="B174" s="43" t="s">
        <v>159</v>
      </c>
      <c r="C174" s="105" t="str">
        <f>C176&amp;"テーブルのレコードを"&amp;R176&amp;"テーブルに格納する。"</f>
        <v>施設属性マスタ取込用テーブルのレコードをバックアップ_施設属性マスタ取込用テーブルに格納する。</v>
      </c>
      <c r="D174" s="106"/>
      <c r="E174" s="106"/>
      <c r="F174" s="106"/>
      <c r="G174" s="106"/>
      <c r="H174" s="106"/>
      <c r="I174" s="106"/>
      <c r="J174" s="106"/>
      <c r="K174" s="106"/>
      <c r="L174" s="106"/>
      <c r="M174" s="106"/>
      <c r="N174" s="106"/>
      <c r="O174" s="106"/>
      <c r="P174" s="106"/>
      <c r="Q174" s="106"/>
      <c r="R174" s="106"/>
      <c r="S174" s="106"/>
      <c r="T174" s="106"/>
      <c r="U174" s="107"/>
      <c r="W174" s="35" t="str">
        <f>"-- "&amp;C174</f>
        <v>-- 施設属性マスタ取込用テーブルのレコードをバックアップ_施設属性マスタ取込用テーブルに格納する。</v>
      </c>
    </row>
    <row r="176" spans="2:23" ht="18.75" customHeight="1">
      <c r="C176" s="96" t="s">
        <v>3552</v>
      </c>
      <c r="D176" s="97"/>
      <c r="E176" s="108" t="s">
        <v>162</v>
      </c>
      <c r="F176" s="36"/>
      <c r="G176" s="36"/>
      <c r="H176" s="36"/>
      <c r="I176" s="36"/>
      <c r="J176" s="36"/>
      <c r="K176" s="36"/>
      <c r="L176" s="36"/>
      <c r="M176" s="36"/>
      <c r="N176" s="36"/>
      <c r="O176" s="36"/>
      <c r="P176" s="36"/>
      <c r="Q176" s="36"/>
      <c r="R176" s="96" t="str">
        <f>"バックアップ_"&amp;SUBSTITUTE(C176,"_結合","")</f>
        <v>バックアップ_施設属性マスタ取込用</v>
      </c>
      <c r="S176" s="97"/>
      <c r="T176" s="100" t="str">
        <f>エンティティ一覧!$O$2</f>
        <v>milscm_2023_010</v>
      </c>
    </row>
    <row r="177" spans="2:23" ht="18.75" customHeight="1">
      <c r="C177" s="98"/>
      <c r="D177" s="99"/>
      <c r="E177" s="109"/>
      <c r="F177" s="37"/>
      <c r="G177" s="37"/>
      <c r="H177" s="37"/>
      <c r="I177" s="37"/>
      <c r="J177" s="37"/>
      <c r="K177" s="37"/>
      <c r="L177" s="37"/>
      <c r="M177" s="37"/>
      <c r="N177" s="37"/>
      <c r="O177" s="37"/>
      <c r="P177" s="37"/>
      <c r="Q177" s="37"/>
      <c r="R177" s="98"/>
      <c r="S177" s="99"/>
      <c r="T177" s="101"/>
    </row>
    <row r="179" spans="2:23" ht="18.75" customHeight="1" thickBot="1">
      <c r="B179" s="42"/>
      <c r="C179" s="42"/>
      <c r="D179" s="42"/>
      <c r="E179" s="42"/>
      <c r="F179" s="42"/>
      <c r="G179" s="42"/>
      <c r="H179" s="42"/>
      <c r="I179" s="42"/>
      <c r="J179" s="42"/>
      <c r="K179" s="42"/>
      <c r="L179" s="42"/>
      <c r="M179" s="42"/>
      <c r="N179" s="42"/>
      <c r="O179" s="42"/>
      <c r="P179" s="42"/>
      <c r="Q179" s="42"/>
      <c r="R179" s="42"/>
      <c r="S179" s="42"/>
      <c r="T179" s="42"/>
      <c r="U179" s="42"/>
    </row>
    <row r="181" spans="2:23" ht="18.75" customHeight="1">
      <c r="B181" s="43" t="s">
        <v>163</v>
      </c>
      <c r="C181" s="51" t="s">
        <v>3553</v>
      </c>
      <c r="D181" s="90"/>
      <c r="W181" s="35" t="str">
        <f>"-- "&amp;B181&amp;" : "&amp;C181</f>
        <v>-- SQL_ID : 01_A3-03</v>
      </c>
    </row>
    <row r="182" spans="2:23" ht="18.75" customHeight="1">
      <c r="B182" s="43" t="s">
        <v>158</v>
      </c>
      <c r="C182" s="102" t="str">
        <f>R185&amp;"登録"</f>
        <v>バックアップ_二次医療圏マスタ取込用登録</v>
      </c>
      <c r="D182" s="103"/>
      <c r="E182" s="103"/>
      <c r="F182" s="103"/>
      <c r="G182" s="103"/>
      <c r="H182" s="103"/>
      <c r="I182" s="103"/>
      <c r="J182" s="103"/>
      <c r="K182" s="103"/>
      <c r="L182" s="103"/>
      <c r="M182" s="103"/>
      <c r="N182" s="103"/>
      <c r="O182" s="103"/>
      <c r="P182" s="103"/>
      <c r="Q182" s="103"/>
      <c r="R182" s="103"/>
      <c r="S182" s="103"/>
      <c r="T182" s="103"/>
      <c r="U182" s="104"/>
      <c r="W182" s="35" t="str">
        <f>"-- "&amp;C182</f>
        <v>-- バックアップ_二次医療圏マスタ取込用登録</v>
      </c>
    </row>
    <row r="183" spans="2:23" ht="18.75" customHeight="1">
      <c r="B183" s="43" t="s">
        <v>159</v>
      </c>
      <c r="C183" s="105" t="str">
        <f>C185&amp;"テーブルのレコードを"&amp;R185&amp;"テーブルに格納する。"</f>
        <v>二次医療圏マスタ取込用テーブルのレコードをバックアップ_二次医療圏マスタ取込用テーブルに格納する。</v>
      </c>
      <c r="D183" s="106"/>
      <c r="E183" s="106"/>
      <c r="F183" s="106"/>
      <c r="G183" s="106"/>
      <c r="H183" s="106"/>
      <c r="I183" s="106"/>
      <c r="J183" s="106"/>
      <c r="K183" s="106"/>
      <c r="L183" s="106"/>
      <c r="M183" s="106"/>
      <c r="N183" s="106"/>
      <c r="O183" s="106"/>
      <c r="P183" s="106"/>
      <c r="Q183" s="106"/>
      <c r="R183" s="106"/>
      <c r="S183" s="106"/>
      <c r="T183" s="106"/>
      <c r="U183" s="107"/>
      <c r="W183" s="35" t="str">
        <f>"-- "&amp;C183</f>
        <v>-- 二次医療圏マスタ取込用テーブルのレコードをバックアップ_二次医療圏マスタ取込用テーブルに格納する。</v>
      </c>
    </row>
    <row r="185" spans="2:23" ht="18.75" customHeight="1">
      <c r="C185" s="96" t="s">
        <v>3554</v>
      </c>
      <c r="D185" s="97"/>
      <c r="E185" s="108" t="s">
        <v>162</v>
      </c>
      <c r="F185" s="36"/>
      <c r="G185" s="36"/>
      <c r="H185" s="36"/>
      <c r="I185" s="36"/>
      <c r="J185" s="36"/>
      <c r="K185" s="36"/>
      <c r="L185" s="36"/>
      <c r="M185" s="36"/>
      <c r="N185" s="36"/>
      <c r="O185" s="36"/>
      <c r="P185" s="36"/>
      <c r="Q185" s="36"/>
      <c r="R185" s="96" t="str">
        <f>"バックアップ_"&amp;SUBSTITUTE(C185,"_結合","")</f>
        <v>バックアップ_二次医療圏マスタ取込用</v>
      </c>
      <c r="S185" s="97"/>
      <c r="T185" s="100" t="str">
        <f>エンティティ一覧!$O$2</f>
        <v>milscm_2023_010</v>
      </c>
    </row>
    <row r="186" spans="2:23" ht="18.75" customHeight="1">
      <c r="C186" s="98"/>
      <c r="D186" s="99"/>
      <c r="E186" s="109"/>
      <c r="F186" s="37"/>
      <c r="G186" s="37"/>
      <c r="H186" s="37"/>
      <c r="I186" s="37"/>
      <c r="J186" s="37"/>
      <c r="K186" s="37"/>
      <c r="L186" s="37"/>
      <c r="M186" s="37"/>
      <c r="N186" s="37"/>
      <c r="O186" s="37"/>
      <c r="P186" s="37"/>
      <c r="Q186" s="37"/>
      <c r="R186" s="98"/>
      <c r="S186" s="99"/>
      <c r="T186" s="101"/>
    </row>
    <row r="188" spans="2:23" ht="18.75" customHeight="1" thickBot="1">
      <c r="B188" s="42"/>
      <c r="C188" s="42"/>
      <c r="D188" s="42"/>
      <c r="E188" s="42"/>
      <c r="F188" s="42"/>
      <c r="G188" s="42"/>
      <c r="H188" s="42"/>
      <c r="I188" s="42"/>
      <c r="J188" s="42"/>
      <c r="K188" s="42"/>
      <c r="L188" s="42"/>
      <c r="M188" s="42"/>
      <c r="N188" s="42"/>
      <c r="O188" s="42"/>
      <c r="P188" s="42"/>
      <c r="Q188" s="42"/>
      <c r="R188" s="42"/>
      <c r="S188" s="42"/>
      <c r="T188" s="42"/>
      <c r="U188" s="42"/>
    </row>
    <row r="190" spans="2:23" ht="18.75" customHeight="1">
      <c r="B190" s="43" t="s">
        <v>163</v>
      </c>
      <c r="C190" s="51" t="s">
        <v>3555</v>
      </c>
      <c r="D190" s="90"/>
      <c r="W190" s="35" t="str">
        <f>"-- "&amp;B190&amp;" : "&amp;C190</f>
        <v>-- SQL_ID : 01_A3-04</v>
      </c>
    </row>
    <row r="191" spans="2:23" ht="18.75" customHeight="1">
      <c r="B191" s="43" t="s">
        <v>158</v>
      </c>
      <c r="C191" s="102" t="str">
        <f>R194&amp;"登録"</f>
        <v>バックアップ_新旧医薬品コードマスタ取込用登録</v>
      </c>
      <c r="D191" s="103"/>
      <c r="E191" s="103"/>
      <c r="F191" s="103"/>
      <c r="G191" s="103"/>
      <c r="H191" s="103"/>
      <c r="I191" s="103"/>
      <c r="J191" s="103"/>
      <c r="K191" s="103"/>
      <c r="L191" s="103"/>
      <c r="M191" s="103"/>
      <c r="N191" s="103"/>
      <c r="O191" s="103"/>
      <c r="P191" s="103"/>
      <c r="Q191" s="103"/>
      <c r="R191" s="103"/>
      <c r="S191" s="103"/>
      <c r="T191" s="103"/>
      <c r="U191" s="104"/>
      <c r="W191" s="35" t="str">
        <f>"-- "&amp;C191</f>
        <v>-- バックアップ_新旧医薬品コードマスタ取込用登録</v>
      </c>
    </row>
    <row r="192" spans="2:23" ht="18.75" customHeight="1">
      <c r="B192" s="43" t="s">
        <v>159</v>
      </c>
      <c r="C192" s="105" t="str">
        <f>C194&amp;"テーブルのレコードを"&amp;R194&amp;"テーブルに格納する。"</f>
        <v>新旧医薬品コードマスタ取込用テーブルのレコードをバックアップ_新旧医薬品コードマスタ取込用テーブルに格納する。</v>
      </c>
      <c r="D192" s="106"/>
      <c r="E192" s="106"/>
      <c r="F192" s="106"/>
      <c r="G192" s="106"/>
      <c r="H192" s="106"/>
      <c r="I192" s="106"/>
      <c r="J192" s="106"/>
      <c r="K192" s="106"/>
      <c r="L192" s="106"/>
      <c r="M192" s="106"/>
      <c r="N192" s="106"/>
      <c r="O192" s="106"/>
      <c r="P192" s="106"/>
      <c r="Q192" s="106"/>
      <c r="R192" s="106"/>
      <c r="S192" s="106"/>
      <c r="T192" s="106"/>
      <c r="U192" s="107"/>
      <c r="W192" s="35" t="str">
        <f>"-- "&amp;C192</f>
        <v>-- 新旧医薬品コードマスタ取込用テーブルのレコードをバックアップ_新旧医薬品コードマスタ取込用テーブルに格納する。</v>
      </c>
    </row>
    <row r="194" spans="2:23" ht="18.75" customHeight="1">
      <c r="C194" s="96" t="s">
        <v>3556</v>
      </c>
      <c r="D194" s="97"/>
      <c r="E194" s="108" t="s">
        <v>162</v>
      </c>
      <c r="F194" s="36"/>
      <c r="G194" s="36"/>
      <c r="H194" s="36"/>
      <c r="I194" s="36"/>
      <c r="J194" s="36"/>
      <c r="K194" s="36"/>
      <c r="L194" s="36"/>
      <c r="M194" s="36"/>
      <c r="N194" s="36"/>
      <c r="O194" s="36"/>
      <c r="P194" s="36"/>
      <c r="Q194" s="36"/>
      <c r="R194" s="96" t="str">
        <f>"バックアップ_"&amp;SUBSTITUTE(C194,"_結合","")</f>
        <v>バックアップ_新旧医薬品コードマスタ取込用</v>
      </c>
      <c r="S194" s="97"/>
      <c r="T194" s="100" t="str">
        <f>エンティティ一覧!$O$2</f>
        <v>milscm_2023_010</v>
      </c>
    </row>
    <row r="195" spans="2:23" ht="18.75" customHeight="1">
      <c r="C195" s="98"/>
      <c r="D195" s="99"/>
      <c r="E195" s="109"/>
      <c r="F195" s="37"/>
      <c r="G195" s="37"/>
      <c r="H195" s="37"/>
      <c r="I195" s="37"/>
      <c r="J195" s="37"/>
      <c r="K195" s="37"/>
      <c r="L195" s="37"/>
      <c r="M195" s="37"/>
      <c r="N195" s="37"/>
      <c r="O195" s="37"/>
      <c r="P195" s="37"/>
      <c r="Q195" s="37"/>
      <c r="R195" s="98"/>
      <c r="S195" s="99"/>
      <c r="T195" s="101"/>
    </row>
    <row r="197" spans="2:23" ht="18.75" customHeight="1" thickBot="1">
      <c r="B197" s="42"/>
      <c r="C197" s="42"/>
      <c r="D197" s="42"/>
      <c r="E197" s="42"/>
      <c r="F197" s="42"/>
      <c r="G197" s="42"/>
      <c r="H197" s="42"/>
      <c r="I197" s="42"/>
      <c r="J197" s="42"/>
      <c r="K197" s="42"/>
      <c r="L197" s="42"/>
      <c r="M197" s="42"/>
      <c r="N197" s="42"/>
      <c r="O197" s="42"/>
      <c r="P197" s="42"/>
      <c r="Q197" s="42"/>
      <c r="R197" s="42"/>
      <c r="S197" s="42"/>
      <c r="T197" s="42"/>
      <c r="U197" s="42"/>
    </row>
    <row r="199" spans="2:23" ht="18.75" customHeight="1">
      <c r="B199" s="43" t="s">
        <v>163</v>
      </c>
      <c r="C199" s="51" t="s">
        <v>3557</v>
      </c>
      <c r="D199" s="90"/>
      <c r="W199" s="35" t="str">
        <f>"-- "&amp;B199&amp;" : "&amp;C199</f>
        <v>-- SQL_ID : 01_A3-05</v>
      </c>
    </row>
    <row r="200" spans="2:23" ht="18.75" customHeight="1">
      <c r="B200" s="43" t="s">
        <v>158</v>
      </c>
      <c r="C200" s="102" t="str">
        <f>R203&amp;"登録"</f>
        <v>バックアップ_DPC6ICD10対応表マスタ取込用登録</v>
      </c>
      <c r="D200" s="103"/>
      <c r="E200" s="103"/>
      <c r="F200" s="103"/>
      <c r="G200" s="103"/>
      <c r="H200" s="103"/>
      <c r="I200" s="103"/>
      <c r="J200" s="103"/>
      <c r="K200" s="103"/>
      <c r="L200" s="103"/>
      <c r="M200" s="103"/>
      <c r="N200" s="103"/>
      <c r="O200" s="103"/>
      <c r="P200" s="103"/>
      <c r="Q200" s="103"/>
      <c r="R200" s="103"/>
      <c r="S200" s="103"/>
      <c r="T200" s="103"/>
      <c r="U200" s="104"/>
      <c r="W200" s="35" t="str">
        <f>"-- "&amp;C200</f>
        <v>-- バックアップ_DPC6ICD10対応表マスタ取込用登録</v>
      </c>
    </row>
    <row r="201" spans="2:23" ht="18.75" customHeight="1">
      <c r="B201" s="43" t="s">
        <v>159</v>
      </c>
      <c r="C201" s="105" t="str">
        <f>C203&amp;"テーブルのレコードを"&amp;R203&amp;"テーブルに格納する。"</f>
        <v>DPC6ICD10対応表マスタ取込用テーブルのレコードをバックアップ_DPC6ICD10対応表マスタ取込用テーブルに格納する。</v>
      </c>
      <c r="D201" s="106"/>
      <c r="E201" s="106"/>
      <c r="F201" s="106"/>
      <c r="G201" s="106"/>
      <c r="H201" s="106"/>
      <c r="I201" s="106"/>
      <c r="J201" s="106"/>
      <c r="K201" s="106"/>
      <c r="L201" s="106"/>
      <c r="M201" s="106"/>
      <c r="N201" s="106"/>
      <c r="O201" s="106"/>
      <c r="P201" s="106"/>
      <c r="Q201" s="106"/>
      <c r="R201" s="106"/>
      <c r="S201" s="106"/>
      <c r="T201" s="106"/>
      <c r="U201" s="107"/>
      <c r="W201" s="35" t="str">
        <f>"-- "&amp;C201</f>
        <v>-- DPC6ICD10対応表マスタ取込用テーブルのレコードをバックアップ_DPC6ICD10対応表マスタ取込用テーブルに格納する。</v>
      </c>
    </row>
    <row r="203" spans="2:23" ht="18.75" customHeight="1">
      <c r="C203" s="96" t="s">
        <v>3558</v>
      </c>
      <c r="D203" s="97"/>
      <c r="E203" s="108" t="s">
        <v>162</v>
      </c>
      <c r="F203" s="36"/>
      <c r="G203" s="36"/>
      <c r="H203" s="36"/>
      <c r="I203" s="36"/>
      <c r="J203" s="36"/>
      <c r="K203" s="36"/>
      <c r="L203" s="36"/>
      <c r="M203" s="36"/>
      <c r="N203" s="36"/>
      <c r="O203" s="36"/>
      <c r="P203" s="36"/>
      <c r="Q203" s="36"/>
      <c r="R203" s="96" t="str">
        <f>"バックアップ_"&amp;SUBSTITUTE(C203,"_結合","")</f>
        <v>バックアップ_DPC6ICD10対応表マスタ取込用</v>
      </c>
      <c r="S203" s="97"/>
      <c r="T203" s="100" t="str">
        <f>エンティティ一覧!$O$2</f>
        <v>milscm_2023_010</v>
      </c>
    </row>
    <row r="204" spans="2:23" ht="18.75" customHeight="1">
      <c r="C204" s="98"/>
      <c r="D204" s="99"/>
      <c r="E204" s="109"/>
      <c r="F204" s="37"/>
      <c r="G204" s="37"/>
      <c r="H204" s="37"/>
      <c r="I204" s="37"/>
      <c r="J204" s="37"/>
      <c r="K204" s="37"/>
      <c r="L204" s="37"/>
      <c r="M204" s="37"/>
      <c r="N204" s="37"/>
      <c r="O204" s="37"/>
      <c r="P204" s="37"/>
      <c r="Q204" s="37"/>
      <c r="R204" s="98"/>
      <c r="S204" s="99"/>
      <c r="T204" s="101"/>
    </row>
    <row r="206" spans="2:23" ht="18.75" customHeight="1" thickBot="1">
      <c r="B206" s="42"/>
      <c r="C206" s="42"/>
      <c r="D206" s="42"/>
      <c r="E206" s="42"/>
      <c r="F206" s="42"/>
      <c r="G206" s="42"/>
      <c r="H206" s="42"/>
      <c r="I206" s="42"/>
      <c r="J206" s="42"/>
      <c r="K206" s="42"/>
      <c r="L206" s="42"/>
      <c r="M206" s="42"/>
      <c r="N206" s="42"/>
      <c r="O206" s="42"/>
      <c r="P206" s="42"/>
      <c r="Q206" s="42"/>
      <c r="R206" s="42"/>
      <c r="S206" s="42"/>
      <c r="T206" s="42"/>
      <c r="U206" s="42"/>
    </row>
    <row r="208" spans="2:23" ht="18.75" customHeight="1">
      <c r="B208" s="43" t="s">
        <v>163</v>
      </c>
      <c r="C208" s="51" t="s">
        <v>3559</v>
      </c>
      <c r="D208" s="90"/>
      <c r="W208" s="35" t="str">
        <f>"-- "&amp;B208&amp;" : "&amp;C208</f>
        <v>-- SQL_ID : 01_A3-06</v>
      </c>
    </row>
    <row r="209" spans="2:23" ht="18.75" customHeight="1">
      <c r="B209" s="43" t="s">
        <v>158</v>
      </c>
      <c r="C209" s="102" t="str">
        <f>R212&amp;"登録"</f>
        <v>バックアップ_修飾語マスタ取込用登録</v>
      </c>
      <c r="D209" s="103"/>
      <c r="E209" s="103"/>
      <c r="F209" s="103"/>
      <c r="G209" s="103"/>
      <c r="H209" s="103"/>
      <c r="I209" s="103"/>
      <c r="J209" s="103"/>
      <c r="K209" s="103"/>
      <c r="L209" s="103"/>
      <c r="M209" s="103"/>
      <c r="N209" s="103"/>
      <c r="O209" s="103"/>
      <c r="P209" s="103"/>
      <c r="Q209" s="103"/>
      <c r="R209" s="103"/>
      <c r="S209" s="103"/>
      <c r="T209" s="103"/>
      <c r="U209" s="104"/>
      <c r="W209" s="35" t="str">
        <f>"-- "&amp;C209</f>
        <v>-- バックアップ_修飾語マスタ取込用登録</v>
      </c>
    </row>
    <row r="210" spans="2:23" ht="18.75" customHeight="1">
      <c r="B210" s="43" t="s">
        <v>159</v>
      </c>
      <c r="C210" s="105" t="str">
        <f>C212&amp;"テーブルのレコードを"&amp;R212&amp;"テーブルに格納する。"</f>
        <v>修飾語マスタ取込用テーブルのレコードをバックアップ_修飾語マスタ取込用テーブルに格納する。</v>
      </c>
      <c r="D210" s="106"/>
      <c r="E210" s="106"/>
      <c r="F210" s="106"/>
      <c r="G210" s="106"/>
      <c r="H210" s="106"/>
      <c r="I210" s="106"/>
      <c r="J210" s="106"/>
      <c r="K210" s="106"/>
      <c r="L210" s="106"/>
      <c r="M210" s="106"/>
      <c r="N210" s="106"/>
      <c r="O210" s="106"/>
      <c r="P210" s="106"/>
      <c r="Q210" s="106"/>
      <c r="R210" s="106"/>
      <c r="S210" s="106"/>
      <c r="T210" s="106"/>
      <c r="U210" s="107"/>
      <c r="W210" s="35" t="str">
        <f>"-- "&amp;C210</f>
        <v>-- 修飾語マスタ取込用テーブルのレコードをバックアップ_修飾語マスタ取込用テーブルに格納する。</v>
      </c>
    </row>
    <row r="212" spans="2:23" ht="18.75" customHeight="1">
      <c r="C212" s="96" t="s">
        <v>3560</v>
      </c>
      <c r="D212" s="97"/>
      <c r="E212" s="108" t="s">
        <v>162</v>
      </c>
      <c r="F212" s="36"/>
      <c r="G212" s="36"/>
      <c r="H212" s="36"/>
      <c r="I212" s="36"/>
      <c r="J212" s="36"/>
      <c r="K212" s="36"/>
      <c r="L212" s="36"/>
      <c r="M212" s="36"/>
      <c r="N212" s="36"/>
      <c r="O212" s="36"/>
      <c r="P212" s="36"/>
      <c r="Q212" s="36"/>
      <c r="R212" s="96" t="str">
        <f>"バックアップ_"&amp;SUBSTITUTE(C212,"_結合","")</f>
        <v>バックアップ_修飾語マスタ取込用</v>
      </c>
      <c r="S212" s="97"/>
      <c r="T212" s="100" t="str">
        <f>エンティティ一覧!$O$2</f>
        <v>milscm_2023_010</v>
      </c>
    </row>
    <row r="213" spans="2:23" ht="18.75" customHeight="1">
      <c r="C213" s="98"/>
      <c r="D213" s="99"/>
      <c r="E213" s="109"/>
      <c r="F213" s="37"/>
      <c r="G213" s="37"/>
      <c r="H213" s="37"/>
      <c r="I213" s="37"/>
      <c r="J213" s="37"/>
      <c r="K213" s="37"/>
      <c r="L213" s="37"/>
      <c r="M213" s="37"/>
      <c r="N213" s="37"/>
      <c r="O213" s="37"/>
      <c r="P213" s="37"/>
      <c r="Q213" s="37"/>
      <c r="R213" s="98"/>
      <c r="S213" s="99"/>
      <c r="T213" s="101"/>
    </row>
    <row r="215" spans="2:23" ht="18.75" customHeight="1" thickBot="1">
      <c r="B215" s="42"/>
      <c r="C215" s="42"/>
      <c r="D215" s="42"/>
      <c r="E215" s="42"/>
      <c r="F215" s="42"/>
      <c r="G215" s="42"/>
      <c r="H215" s="42"/>
      <c r="I215" s="42"/>
      <c r="J215" s="42"/>
      <c r="K215" s="42"/>
      <c r="L215" s="42"/>
      <c r="M215" s="42"/>
      <c r="N215" s="42"/>
      <c r="O215" s="42"/>
      <c r="P215" s="42"/>
      <c r="Q215" s="42"/>
      <c r="R215" s="42"/>
      <c r="S215" s="42"/>
      <c r="T215" s="42"/>
      <c r="U215" s="42"/>
    </row>
    <row r="217" spans="2:23" ht="18.75" customHeight="1">
      <c r="B217" s="43" t="s">
        <v>163</v>
      </c>
      <c r="C217" s="51" t="s">
        <v>3561</v>
      </c>
      <c r="D217" s="90"/>
      <c r="W217" s="35" t="str">
        <f>"-- "&amp;B217&amp;" : "&amp;C217</f>
        <v>-- SQL_ID : 01_A3-07</v>
      </c>
    </row>
    <row r="218" spans="2:23" ht="18.75" customHeight="1">
      <c r="B218" s="43" t="s">
        <v>158</v>
      </c>
      <c r="C218" s="102" t="str">
        <f>R221&amp;"登録"</f>
        <v>バックアップ_コメントマスタ取込用登録</v>
      </c>
      <c r="D218" s="103"/>
      <c r="E218" s="103"/>
      <c r="F218" s="103"/>
      <c r="G218" s="103"/>
      <c r="H218" s="103"/>
      <c r="I218" s="103"/>
      <c r="J218" s="103"/>
      <c r="K218" s="103"/>
      <c r="L218" s="103"/>
      <c r="M218" s="103"/>
      <c r="N218" s="103"/>
      <c r="O218" s="103"/>
      <c r="P218" s="103"/>
      <c r="Q218" s="103"/>
      <c r="R218" s="103"/>
      <c r="S218" s="103"/>
      <c r="T218" s="103"/>
      <c r="U218" s="104"/>
      <c r="W218" s="35" t="str">
        <f>"-- "&amp;C218</f>
        <v>-- バックアップ_コメントマスタ取込用登録</v>
      </c>
    </row>
    <row r="219" spans="2:23" ht="18.75" customHeight="1">
      <c r="B219" s="43" t="s">
        <v>159</v>
      </c>
      <c r="C219" s="105" t="str">
        <f>C221&amp;"テーブルのレコードを"&amp;R221&amp;"テーブルに格納する。"</f>
        <v>コメントマスタ取込用テーブルのレコードをバックアップ_コメントマスタ取込用テーブルに格納する。</v>
      </c>
      <c r="D219" s="106"/>
      <c r="E219" s="106"/>
      <c r="F219" s="106"/>
      <c r="G219" s="106"/>
      <c r="H219" s="106"/>
      <c r="I219" s="106"/>
      <c r="J219" s="106"/>
      <c r="K219" s="106"/>
      <c r="L219" s="106"/>
      <c r="M219" s="106"/>
      <c r="N219" s="106"/>
      <c r="O219" s="106"/>
      <c r="P219" s="106"/>
      <c r="Q219" s="106"/>
      <c r="R219" s="106"/>
      <c r="S219" s="106"/>
      <c r="T219" s="106"/>
      <c r="U219" s="107"/>
      <c r="W219" s="35" t="str">
        <f>"-- "&amp;C219</f>
        <v>-- コメントマスタ取込用テーブルのレコードをバックアップ_コメントマスタ取込用テーブルに格納する。</v>
      </c>
    </row>
    <row r="221" spans="2:23" ht="18.75" customHeight="1">
      <c r="C221" s="96" t="s">
        <v>3562</v>
      </c>
      <c r="D221" s="97"/>
      <c r="E221" s="108" t="s">
        <v>162</v>
      </c>
      <c r="F221" s="36"/>
      <c r="G221" s="36"/>
      <c r="H221" s="36"/>
      <c r="I221" s="36"/>
      <c r="J221" s="36"/>
      <c r="K221" s="36"/>
      <c r="L221" s="36"/>
      <c r="M221" s="36"/>
      <c r="N221" s="36"/>
      <c r="O221" s="36"/>
      <c r="P221" s="36"/>
      <c r="Q221" s="36"/>
      <c r="R221" s="96" t="str">
        <f>"バックアップ_"&amp;SUBSTITUTE(C221,"_結合","")</f>
        <v>バックアップ_コメントマスタ取込用</v>
      </c>
      <c r="S221" s="97"/>
      <c r="T221" s="100" t="str">
        <f>エンティティ一覧!$O$2</f>
        <v>milscm_2023_010</v>
      </c>
    </row>
    <row r="222" spans="2:23" ht="18.75" customHeight="1">
      <c r="C222" s="98"/>
      <c r="D222" s="99"/>
      <c r="E222" s="109"/>
      <c r="F222" s="37"/>
      <c r="G222" s="37"/>
      <c r="H222" s="37"/>
      <c r="I222" s="37"/>
      <c r="J222" s="37"/>
      <c r="K222" s="37"/>
      <c r="L222" s="37"/>
      <c r="M222" s="37"/>
      <c r="N222" s="37"/>
      <c r="O222" s="37"/>
      <c r="P222" s="37"/>
      <c r="Q222" s="37"/>
      <c r="R222" s="98"/>
      <c r="S222" s="99"/>
      <c r="T222" s="101"/>
    </row>
    <row r="224" spans="2:23" ht="18.75" customHeight="1" thickBot="1">
      <c r="B224" s="42"/>
      <c r="C224" s="42"/>
      <c r="D224" s="42"/>
      <c r="E224" s="42"/>
      <c r="F224" s="42"/>
      <c r="G224" s="42"/>
      <c r="H224" s="42"/>
      <c r="I224" s="42"/>
      <c r="J224" s="42"/>
      <c r="K224" s="42"/>
      <c r="L224" s="42"/>
      <c r="M224" s="42"/>
      <c r="N224" s="42"/>
      <c r="O224" s="42"/>
      <c r="P224" s="42"/>
      <c r="Q224" s="42"/>
      <c r="R224" s="42"/>
      <c r="S224" s="42"/>
      <c r="T224" s="42"/>
      <c r="U224" s="42"/>
    </row>
    <row r="226" spans="2:23" ht="18.75" customHeight="1">
      <c r="B226" s="43" t="s">
        <v>163</v>
      </c>
      <c r="C226" s="51" t="s">
        <v>3563</v>
      </c>
      <c r="D226" s="90"/>
      <c r="W226" s="35" t="str">
        <f>"-- "&amp;B226&amp;" : "&amp;C226</f>
        <v>-- SQL_ID : 01_A3-08</v>
      </c>
    </row>
    <row r="227" spans="2:23" ht="18.75" customHeight="1">
      <c r="B227" s="43" t="s">
        <v>158</v>
      </c>
      <c r="C227" s="102" t="str">
        <f>R230&amp;"登録"</f>
        <v>バックアップ_成分量マスタ取込用登録</v>
      </c>
      <c r="D227" s="103"/>
      <c r="E227" s="103"/>
      <c r="F227" s="103"/>
      <c r="G227" s="103"/>
      <c r="H227" s="103"/>
      <c r="I227" s="103"/>
      <c r="J227" s="103"/>
      <c r="K227" s="103"/>
      <c r="L227" s="103"/>
      <c r="M227" s="103"/>
      <c r="N227" s="103"/>
      <c r="O227" s="103"/>
      <c r="P227" s="103"/>
      <c r="Q227" s="103"/>
      <c r="R227" s="103"/>
      <c r="S227" s="103"/>
      <c r="T227" s="103"/>
      <c r="U227" s="104"/>
      <c r="W227" s="35" t="str">
        <f>"-- "&amp;C227</f>
        <v>-- バックアップ_成分量マスタ取込用登録</v>
      </c>
    </row>
    <row r="228" spans="2:23" ht="18.75" customHeight="1">
      <c r="B228" s="43" t="s">
        <v>159</v>
      </c>
      <c r="C228" s="105" t="str">
        <f>C230&amp;"テーブルのレコードを"&amp;R230&amp;"テーブルに格納する。"</f>
        <v>成分量マスタ取込用テーブルのレコードをバックアップ_成分量マスタ取込用テーブルに格納する。</v>
      </c>
      <c r="D228" s="106"/>
      <c r="E228" s="106"/>
      <c r="F228" s="106"/>
      <c r="G228" s="106"/>
      <c r="H228" s="106"/>
      <c r="I228" s="106"/>
      <c r="J228" s="106"/>
      <c r="K228" s="106"/>
      <c r="L228" s="106"/>
      <c r="M228" s="106"/>
      <c r="N228" s="106"/>
      <c r="O228" s="106"/>
      <c r="P228" s="106"/>
      <c r="Q228" s="106"/>
      <c r="R228" s="106"/>
      <c r="S228" s="106"/>
      <c r="T228" s="106"/>
      <c r="U228" s="107"/>
      <c r="W228" s="35" t="str">
        <f>"-- "&amp;C228</f>
        <v>-- 成分量マスタ取込用テーブルのレコードをバックアップ_成分量マスタ取込用テーブルに格納する。</v>
      </c>
    </row>
    <row r="230" spans="2:23" ht="18.75" customHeight="1">
      <c r="C230" s="96" t="s">
        <v>3564</v>
      </c>
      <c r="D230" s="97"/>
      <c r="E230" s="108" t="s">
        <v>162</v>
      </c>
      <c r="F230" s="36"/>
      <c r="G230" s="36"/>
      <c r="H230" s="36"/>
      <c r="I230" s="36"/>
      <c r="J230" s="36"/>
      <c r="K230" s="36"/>
      <c r="L230" s="36"/>
      <c r="M230" s="36"/>
      <c r="N230" s="36"/>
      <c r="O230" s="36"/>
      <c r="P230" s="36"/>
      <c r="Q230" s="36"/>
      <c r="R230" s="96" t="str">
        <f>"バックアップ_"&amp;SUBSTITUTE(C230,"_結合","")</f>
        <v>バックアップ_成分量マスタ取込用</v>
      </c>
      <c r="S230" s="97"/>
      <c r="T230" s="100" t="str">
        <f>エンティティ一覧!$O$2</f>
        <v>milscm_2023_010</v>
      </c>
    </row>
    <row r="231" spans="2:23" ht="18.75" customHeight="1">
      <c r="C231" s="98"/>
      <c r="D231" s="99"/>
      <c r="E231" s="109"/>
      <c r="F231" s="37"/>
      <c r="G231" s="37"/>
      <c r="H231" s="37"/>
      <c r="I231" s="37"/>
      <c r="J231" s="37"/>
      <c r="K231" s="37"/>
      <c r="L231" s="37"/>
      <c r="M231" s="37"/>
      <c r="N231" s="37"/>
      <c r="O231" s="37"/>
      <c r="P231" s="37"/>
      <c r="Q231" s="37"/>
      <c r="R231" s="98"/>
      <c r="S231" s="99"/>
      <c r="T231" s="101"/>
    </row>
    <row r="233" spans="2:23" ht="18.75" customHeight="1" thickBot="1">
      <c r="B233" s="42"/>
      <c r="C233" s="42"/>
      <c r="D233" s="42"/>
      <c r="E233" s="42"/>
      <c r="F233" s="42"/>
      <c r="G233" s="42"/>
      <c r="H233" s="42"/>
      <c r="I233" s="42"/>
      <c r="J233" s="42"/>
      <c r="K233" s="42"/>
      <c r="L233" s="42"/>
      <c r="M233" s="42"/>
      <c r="N233" s="42"/>
      <c r="O233" s="42"/>
      <c r="P233" s="42"/>
      <c r="Q233" s="42"/>
      <c r="R233" s="42"/>
      <c r="S233" s="42"/>
      <c r="T233" s="42"/>
      <c r="U233" s="42"/>
    </row>
    <row r="235" spans="2:23" ht="18.75" customHeight="1">
      <c r="B235" s="43" t="s">
        <v>163</v>
      </c>
      <c r="C235" s="51" t="s">
        <v>3565</v>
      </c>
      <c r="D235" s="90"/>
      <c r="W235" s="35" t="str">
        <f>"-- "&amp;B235&amp;" : "&amp;C235</f>
        <v>-- SQL_ID : 01_A3-09</v>
      </c>
    </row>
    <row r="236" spans="2:23" ht="18.75" customHeight="1">
      <c r="B236" s="43" t="s">
        <v>158</v>
      </c>
      <c r="C236" s="102" t="str">
        <f>R239&amp;"登録"</f>
        <v>バックアップ_成分名マスタ取込用登録</v>
      </c>
      <c r="D236" s="103"/>
      <c r="E236" s="103"/>
      <c r="F236" s="103"/>
      <c r="G236" s="103"/>
      <c r="H236" s="103"/>
      <c r="I236" s="103"/>
      <c r="J236" s="103"/>
      <c r="K236" s="103"/>
      <c r="L236" s="103"/>
      <c r="M236" s="103"/>
      <c r="N236" s="103"/>
      <c r="O236" s="103"/>
      <c r="P236" s="103"/>
      <c r="Q236" s="103"/>
      <c r="R236" s="103"/>
      <c r="S236" s="103"/>
      <c r="T236" s="103"/>
      <c r="U236" s="104"/>
      <c r="W236" s="35" t="str">
        <f>"-- "&amp;C236</f>
        <v>-- バックアップ_成分名マスタ取込用登録</v>
      </c>
    </row>
    <row r="237" spans="2:23" ht="18.75" customHeight="1">
      <c r="B237" s="43" t="s">
        <v>159</v>
      </c>
      <c r="C237" s="105" t="str">
        <f>C239&amp;"テーブルのレコードを"&amp;R239&amp;"テーブルに格納する。"</f>
        <v>成分名マスタ取込用テーブルのレコードをバックアップ_成分名マスタ取込用テーブルに格納する。</v>
      </c>
      <c r="D237" s="106"/>
      <c r="E237" s="106"/>
      <c r="F237" s="106"/>
      <c r="G237" s="106"/>
      <c r="H237" s="106"/>
      <c r="I237" s="106"/>
      <c r="J237" s="106"/>
      <c r="K237" s="106"/>
      <c r="L237" s="106"/>
      <c r="M237" s="106"/>
      <c r="N237" s="106"/>
      <c r="O237" s="106"/>
      <c r="P237" s="106"/>
      <c r="Q237" s="106"/>
      <c r="R237" s="106"/>
      <c r="S237" s="106"/>
      <c r="T237" s="106"/>
      <c r="U237" s="107"/>
      <c r="W237" s="35" t="str">
        <f>"-- "&amp;C237</f>
        <v>-- 成分名マスタ取込用テーブルのレコードをバックアップ_成分名マスタ取込用テーブルに格納する。</v>
      </c>
    </row>
    <row r="239" spans="2:23" ht="18.75" customHeight="1">
      <c r="C239" s="96" t="s">
        <v>3566</v>
      </c>
      <c r="D239" s="97"/>
      <c r="E239" s="108" t="s">
        <v>162</v>
      </c>
      <c r="F239" s="36"/>
      <c r="G239" s="36"/>
      <c r="H239" s="36"/>
      <c r="I239" s="36"/>
      <c r="J239" s="36"/>
      <c r="K239" s="36"/>
      <c r="L239" s="36"/>
      <c r="M239" s="36"/>
      <c r="N239" s="36"/>
      <c r="O239" s="36"/>
      <c r="P239" s="36"/>
      <c r="Q239" s="36"/>
      <c r="R239" s="96" t="str">
        <f>"バックアップ_"&amp;SUBSTITUTE(C239,"_結合","")</f>
        <v>バックアップ_成分名マスタ取込用</v>
      </c>
      <c r="S239" s="97"/>
      <c r="T239" s="100" t="str">
        <f>エンティティ一覧!$O$2</f>
        <v>milscm_2023_010</v>
      </c>
    </row>
    <row r="240" spans="2:23" ht="18.75" customHeight="1">
      <c r="C240" s="98"/>
      <c r="D240" s="99"/>
      <c r="E240" s="109"/>
      <c r="F240" s="37"/>
      <c r="G240" s="37"/>
      <c r="H240" s="37"/>
      <c r="I240" s="37"/>
      <c r="J240" s="37"/>
      <c r="K240" s="37"/>
      <c r="L240" s="37"/>
      <c r="M240" s="37"/>
      <c r="N240" s="37"/>
      <c r="O240" s="37"/>
      <c r="P240" s="37"/>
      <c r="Q240" s="37"/>
      <c r="R240" s="98"/>
      <c r="S240" s="99"/>
      <c r="T240" s="101"/>
    </row>
    <row r="242" spans="2:23" ht="18.75" customHeight="1" thickBot="1">
      <c r="B242" s="42"/>
      <c r="C242" s="42"/>
      <c r="D242" s="42"/>
      <c r="E242" s="42"/>
      <c r="F242" s="42"/>
      <c r="G242" s="42"/>
      <c r="H242" s="42"/>
      <c r="I242" s="42"/>
      <c r="J242" s="42"/>
      <c r="K242" s="42"/>
      <c r="L242" s="42"/>
      <c r="M242" s="42"/>
      <c r="N242" s="42"/>
      <c r="O242" s="42"/>
      <c r="P242" s="42"/>
      <c r="Q242" s="42"/>
      <c r="R242" s="42"/>
      <c r="S242" s="42"/>
      <c r="T242" s="42"/>
      <c r="U242" s="42"/>
    </row>
    <row r="244" spans="2:23" ht="18.75" customHeight="1">
      <c r="B244" s="43" t="s">
        <v>163</v>
      </c>
      <c r="C244" s="51" t="s">
        <v>3567</v>
      </c>
      <c r="D244" s="90"/>
      <c r="W244" s="35" t="str">
        <f>"-- "&amp;B244&amp;" : "&amp;C244</f>
        <v>-- SQL_ID : 01_A3-10</v>
      </c>
    </row>
    <row r="245" spans="2:23" ht="18.75" customHeight="1">
      <c r="B245" s="43" t="s">
        <v>158</v>
      </c>
      <c r="C245" s="102" t="str">
        <f>R248&amp;"登録"</f>
        <v>バックアップ_単位マスタ取込用登録</v>
      </c>
      <c r="D245" s="103"/>
      <c r="E245" s="103"/>
      <c r="F245" s="103"/>
      <c r="G245" s="103"/>
      <c r="H245" s="103"/>
      <c r="I245" s="103"/>
      <c r="J245" s="103"/>
      <c r="K245" s="103"/>
      <c r="L245" s="103"/>
      <c r="M245" s="103"/>
      <c r="N245" s="103"/>
      <c r="O245" s="103"/>
      <c r="P245" s="103"/>
      <c r="Q245" s="103"/>
      <c r="R245" s="103"/>
      <c r="S245" s="103"/>
      <c r="T245" s="103"/>
      <c r="U245" s="104"/>
      <c r="W245" s="35" t="str">
        <f>"-- "&amp;C245</f>
        <v>-- バックアップ_単位マスタ取込用登録</v>
      </c>
    </row>
    <row r="246" spans="2:23" ht="18.75" customHeight="1">
      <c r="B246" s="43" t="s">
        <v>159</v>
      </c>
      <c r="C246" s="105" t="str">
        <f>C248&amp;"テーブルのレコードを"&amp;R248&amp;"テーブルに格納する。"</f>
        <v>単位マスタ取込用テーブルのレコードをバックアップ_単位マスタ取込用テーブルに格納する。</v>
      </c>
      <c r="D246" s="106"/>
      <c r="E246" s="106"/>
      <c r="F246" s="106"/>
      <c r="G246" s="106"/>
      <c r="H246" s="106"/>
      <c r="I246" s="106"/>
      <c r="J246" s="106"/>
      <c r="K246" s="106"/>
      <c r="L246" s="106"/>
      <c r="M246" s="106"/>
      <c r="N246" s="106"/>
      <c r="O246" s="106"/>
      <c r="P246" s="106"/>
      <c r="Q246" s="106"/>
      <c r="R246" s="106"/>
      <c r="S246" s="106"/>
      <c r="T246" s="106"/>
      <c r="U246" s="107"/>
      <c r="W246" s="35" t="str">
        <f>"-- "&amp;C246</f>
        <v>-- 単位マスタ取込用テーブルのレコードをバックアップ_単位マスタ取込用テーブルに格納する。</v>
      </c>
    </row>
    <row r="248" spans="2:23" ht="18.75" customHeight="1">
      <c r="C248" s="96" t="s">
        <v>3568</v>
      </c>
      <c r="D248" s="97"/>
      <c r="E248" s="108" t="s">
        <v>162</v>
      </c>
      <c r="F248" s="36"/>
      <c r="G248" s="36"/>
      <c r="H248" s="36"/>
      <c r="I248" s="36"/>
      <c r="J248" s="36"/>
      <c r="K248" s="36"/>
      <c r="L248" s="36"/>
      <c r="M248" s="36"/>
      <c r="N248" s="36"/>
      <c r="O248" s="36"/>
      <c r="P248" s="36"/>
      <c r="Q248" s="36"/>
      <c r="R248" s="96" t="str">
        <f>"バックアップ_"&amp;SUBSTITUTE(C248,"_結合","")</f>
        <v>バックアップ_単位マスタ取込用</v>
      </c>
      <c r="S248" s="97"/>
      <c r="T248" s="100" t="str">
        <f>エンティティ一覧!$O$2</f>
        <v>milscm_2023_010</v>
      </c>
    </row>
    <row r="249" spans="2:23" ht="18.75" customHeight="1">
      <c r="C249" s="98"/>
      <c r="D249" s="99"/>
      <c r="E249" s="109"/>
      <c r="F249" s="37"/>
      <c r="G249" s="37"/>
      <c r="H249" s="37"/>
      <c r="I249" s="37"/>
      <c r="J249" s="37"/>
      <c r="K249" s="37"/>
      <c r="L249" s="37"/>
      <c r="M249" s="37"/>
      <c r="N249" s="37"/>
      <c r="O249" s="37"/>
      <c r="P249" s="37"/>
      <c r="Q249" s="37"/>
      <c r="R249" s="98"/>
      <c r="S249" s="99"/>
      <c r="T249" s="101"/>
    </row>
    <row r="251" spans="2:23" ht="18.75" customHeight="1" thickBot="1">
      <c r="B251" s="42"/>
      <c r="C251" s="42"/>
      <c r="D251" s="42"/>
      <c r="E251" s="42"/>
      <c r="F251" s="42"/>
      <c r="G251" s="42"/>
      <c r="H251" s="42"/>
      <c r="I251" s="42"/>
      <c r="J251" s="42"/>
      <c r="K251" s="42"/>
      <c r="L251" s="42"/>
      <c r="M251" s="42"/>
      <c r="N251" s="42"/>
      <c r="O251" s="42"/>
      <c r="P251" s="42"/>
      <c r="Q251" s="42"/>
      <c r="R251" s="42"/>
      <c r="S251" s="42"/>
      <c r="T251" s="42"/>
      <c r="U251" s="42"/>
    </row>
    <row r="253" spans="2:23" ht="18.75" customHeight="1">
      <c r="B253" s="43" t="s">
        <v>163</v>
      </c>
      <c r="C253" s="51" t="s">
        <v>3569</v>
      </c>
      <c r="D253" s="90"/>
      <c r="W253" s="35" t="str">
        <f>"-- "&amp;B253&amp;" : "&amp;C253</f>
        <v>-- SQL_ID : 01_A3-11</v>
      </c>
    </row>
    <row r="254" spans="2:23" ht="18.75" customHeight="1">
      <c r="B254" s="43" t="s">
        <v>158</v>
      </c>
      <c r="C254" s="102" t="str">
        <f>R257&amp;"登録"</f>
        <v>バックアップ_適応病名レセ病名組み合わせ関係リンクマスタ取込用登録</v>
      </c>
      <c r="D254" s="103"/>
      <c r="E254" s="103"/>
      <c r="F254" s="103"/>
      <c r="G254" s="103"/>
      <c r="H254" s="103"/>
      <c r="I254" s="103"/>
      <c r="J254" s="103"/>
      <c r="K254" s="103"/>
      <c r="L254" s="103"/>
      <c r="M254" s="103"/>
      <c r="N254" s="103"/>
      <c r="O254" s="103"/>
      <c r="P254" s="103"/>
      <c r="Q254" s="103"/>
      <c r="R254" s="103"/>
      <c r="S254" s="103"/>
      <c r="T254" s="103"/>
      <c r="U254" s="104"/>
      <c r="W254" s="35" t="str">
        <f>"-- "&amp;C254</f>
        <v>-- バックアップ_適応病名レセ病名組み合わせ関係リンクマスタ取込用登録</v>
      </c>
    </row>
    <row r="255" spans="2:23" ht="18.75" customHeight="1">
      <c r="B255" s="43" t="s">
        <v>159</v>
      </c>
      <c r="C255" s="105" t="str">
        <f>C257&amp;"テーブルのレコードを"&amp;R257&amp;"テーブルに格納する。"</f>
        <v>適応病名レセ病名組み合わせ関係リンクマスタ取込用テーブルのレコードをバックアップ_適応病名レセ病名組み合わせ関係リンクマスタ取込用テーブルに格納する。</v>
      </c>
      <c r="D255" s="106"/>
      <c r="E255" s="106"/>
      <c r="F255" s="106"/>
      <c r="G255" s="106"/>
      <c r="H255" s="106"/>
      <c r="I255" s="106"/>
      <c r="J255" s="106"/>
      <c r="K255" s="106"/>
      <c r="L255" s="106"/>
      <c r="M255" s="106"/>
      <c r="N255" s="106"/>
      <c r="O255" s="106"/>
      <c r="P255" s="106"/>
      <c r="Q255" s="106"/>
      <c r="R255" s="106"/>
      <c r="S255" s="106"/>
      <c r="T255" s="106"/>
      <c r="U255" s="107"/>
      <c r="W255" s="35" t="str">
        <f>"-- "&amp;C255</f>
        <v>-- 適応病名レセ病名組み合わせ関係リンクマスタ取込用テーブルのレコードをバックアップ_適応病名レセ病名組み合わせ関係リンクマスタ取込用テーブルに格納する。</v>
      </c>
    </row>
    <row r="257" spans="2:23" ht="18.75" customHeight="1">
      <c r="C257" s="96" t="s">
        <v>3570</v>
      </c>
      <c r="D257" s="97"/>
      <c r="E257" s="108" t="s">
        <v>162</v>
      </c>
      <c r="F257" s="36"/>
      <c r="G257" s="36"/>
      <c r="H257" s="36"/>
      <c r="I257" s="36"/>
      <c r="J257" s="36"/>
      <c r="K257" s="36"/>
      <c r="L257" s="36"/>
      <c r="M257" s="36"/>
      <c r="N257" s="36"/>
      <c r="O257" s="36"/>
      <c r="P257" s="36"/>
      <c r="Q257" s="36"/>
      <c r="R257" s="110" t="str">
        <f>"バックアップ_"&amp;SUBSTITUTE(C257,"_結合","")</f>
        <v>バックアップ_適応病名レセ病名組み合わせ関係リンクマスタ取込用</v>
      </c>
      <c r="S257" s="111"/>
      <c r="T257" s="100" t="str">
        <f>エンティティ一覧!$O$2</f>
        <v>milscm_2023_010</v>
      </c>
    </row>
    <row r="258" spans="2:23" ht="18.75" customHeight="1">
      <c r="C258" s="98"/>
      <c r="D258" s="99"/>
      <c r="E258" s="109"/>
      <c r="F258" s="37"/>
      <c r="G258" s="37"/>
      <c r="H258" s="37"/>
      <c r="I258" s="37"/>
      <c r="J258" s="37"/>
      <c r="K258" s="37"/>
      <c r="L258" s="37"/>
      <c r="M258" s="37"/>
      <c r="N258" s="37"/>
      <c r="O258" s="37"/>
      <c r="P258" s="37"/>
      <c r="Q258" s="37"/>
      <c r="R258" s="112"/>
      <c r="S258" s="113"/>
      <c r="T258" s="101"/>
    </row>
    <row r="260" spans="2:23" ht="18.75" customHeight="1" thickBot="1">
      <c r="B260" s="42"/>
      <c r="C260" s="42"/>
      <c r="D260" s="42"/>
      <c r="E260" s="42"/>
      <c r="F260" s="42"/>
      <c r="G260" s="42"/>
      <c r="H260" s="42"/>
      <c r="I260" s="42"/>
      <c r="J260" s="42"/>
      <c r="K260" s="42"/>
      <c r="L260" s="42"/>
      <c r="M260" s="42"/>
      <c r="N260" s="42"/>
      <c r="O260" s="42"/>
      <c r="P260" s="42"/>
      <c r="Q260" s="42"/>
      <c r="R260" s="42"/>
      <c r="S260" s="42"/>
      <c r="T260" s="42"/>
      <c r="U260" s="42"/>
    </row>
    <row r="262" spans="2:23" ht="18.75" customHeight="1">
      <c r="B262" s="43" t="s">
        <v>163</v>
      </c>
      <c r="C262" s="51" t="s">
        <v>3571</v>
      </c>
      <c r="D262" s="90"/>
      <c r="W262" s="35" t="str">
        <f>"-- "&amp;B262&amp;" : "&amp;C262</f>
        <v>-- SQL_ID : 01_A3-12</v>
      </c>
    </row>
    <row r="263" spans="2:23" ht="18.75" customHeight="1">
      <c r="B263" s="43" t="s">
        <v>158</v>
      </c>
      <c r="C263" s="102" t="str">
        <f>R266&amp;"登録"</f>
        <v>バックアップ_適応病名レセ病名組み合わせ関係リンク親子マスタ取込用登録</v>
      </c>
      <c r="D263" s="103"/>
      <c r="E263" s="103"/>
      <c r="F263" s="103"/>
      <c r="G263" s="103"/>
      <c r="H263" s="103"/>
      <c r="I263" s="103"/>
      <c r="J263" s="103"/>
      <c r="K263" s="103"/>
      <c r="L263" s="103"/>
      <c r="M263" s="103"/>
      <c r="N263" s="103"/>
      <c r="O263" s="103"/>
      <c r="P263" s="103"/>
      <c r="Q263" s="103"/>
      <c r="R263" s="103"/>
      <c r="S263" s="103"/>
      <c r="T263" s="103"/>
      <c r="U263" s="104"/>
      <c r="W263" s="35" t="str">
        <f>"-- "&amp;C263</f>
        <v>-- バックアップ_適応病名レセ病名組み合わせ関係リンク親子マスタ取込用登録</v>
      </c>
    </row>
    <row r="264" spans="2:23" ht="18.75" customHeight="1">
      <c r="B264" s="43" t="s">
        <v>159</v>
      </c>
      <c r="C264" s="105" t="str">
        <f>C266&amp;"テーブルのレコードを"&amp;R266&amp;"テーブルに格納する。"</f>
        <v>適応病名レセ病名組み合わせ関係リンク親子マスタ取込用テーブルのレコードをバックアップ_適応病名レセ病名組み合わせ関係リンク親子マスタ取込用テーブルに格納する。</v>
      </c>
      <c r="D264" s="106"/>
      <c r="E264" s="106"/>
      <c r="F264" s="106"/>
      <c r="G264" s="106"/>
      <c r="H264" s="106"/>
      <c r="I264" s="106"/>
      <c r="J264" s="106"/>
      <c r="K264" s="106"/>
      <c r="L264" s="106"/>
      <c r="M264" s="106"/>
      <c r="N264" s="106"/>
      <c r="O264" s="106"/>
      <c r="P264" s="106"/>
      <c r="Q264" s="106"/>
      <c r="R264" s="106"/>
      <c r="S264" s="106"/>
      <c r="T264" s="106"/>
      <c r="U264" s="107"/>
      <c r="W264" s="35" t="str">
        <f>"-- "&amp;C264</f>
        <v>-- 適応病名レセ病名組み合わせ関係リンク親子マスタ取込用テーブルのレコードをバックアップ_適応病名レセ病名組み合わせ関係リンク親子マスタ取込用テーブルに格納する。</v>
      </c>
    </row>
    <row r="266" spans="2:23" ht="18.75" customHeight="1">
      <c r="C266" s="114" t="s">
        <v>3572</v>
      </c>
      <c r="D266" s="115"/>
      <c r="E266" s="108" t="s">
        <v>162</v>
      </c>
      <c r="F266" s="36"/>
      <c r="G266" s="36"/>
      <c r="H266" s="36"/>
      <c r="I266" s="36"/>
      <c r="J266" s="36"/>
      <c r="K266" s="36"/>
      <c r="L266" s="36"/>
      <c r="M266" s="36"/>
      <c r="N266" s="36"/>
      <c r="O266" s="36"/>
      <c r="P266" s="36"/>
      <c r="Q266" s="36"/>
      <c r="R266" s="110" t="str">
        <f>"バックアップ_"&amp;SUBSTITUTE(C266,"_結合","")</f>
        <v>バックアップ_適応病名レセ病名組み合わせ関係リンク親子マスタ取込用</v>
      </c>
      <c r="S266" s="111"/>
      <c r="T266" s="100" t="str">
        <f>エンティティ一覧!$O$2</f>
        <v>milscm_2023_010</v>
      </c>
    </row>
    <row r="267" spans="2:23" ht="18.75" customHeight="1">
      <c r="C267" s="116"/>
      <c r="D267" s="117"/>
      <c r="E267" s="109"/>
      <c r="F267" s="37"/>
      <c r="G267" s="37"/>
      <c r="H267" s="37"/>
      <c r="I267" s="37"/>
      <c r="J267" s="37"/>
      <c r="K267" s="37"/>
      <c r="L267" s="37"/>
      <c r="M267" s="37"/>
      <c r="N267" s="37"/>
      <c r="O267" s="37"/>
      <c r="P267" s="37"/>
      <c r="Q267" s="37"/>
      <c r="R267" s="112"/>
      <c r="S267" s="113"/>
      <c r="T267" s="101"/>
    </row>
    <row r="269" spans="2:23" ht="18.75" customHeight="1" thickBot="1">
      <c r="B269" s="42"/>
      <c r="C269" s="42"/>
      <c r="D269" s="42"/>
      <c r="E269" s="42"/>
      <c r="F269" s="42"/>
      <c r="G269" s="42"/>
      <c r="H269" s="42"/>
      <c r="I269" s="42"/>
      <c r="J269" s="42"/>
      <c r="K269" s="42"/>
      <c r="L269" s="42"/>
      <c r="M269" s="42"/>
      <c r="N269" s="42"/>
      <c r="O269" s="42"/>
      <c r="P269" s="42"/>
      <c r="Q269" s="42"/>
      <c r="R269" s="42"/>
      <c r="S269" s="42"/>
      <c r="T269" s="42"/>
      <c r="U269" s="42"/>
    </row>
    <row r="271" spans="2:23" ht="18.75" customHeight="1">
      <c r="B271" s="43" t="s">
        <v>163</v>
      </c>
      <c r="C271" s="51" t="s">
        <v>3573</v>
      </c>
      <c r="D271" s="90"/>
      <c r="W271" s="35" t="str">
        <f>"-- "&amp;B271&amp;" : "&amp;C271</f>
        <v>-- SQL_ID : 01_A3-13</v>
      </c>
    </row>
    <row r="272" spans="2:23" ht="18.75" customHeight="1">
      <c r="B272" s="43" t="s">
        <v>158</v>
      </c>
      <c r="C272" s="102" t="str">
        <f>R275&amp;"登録"</f>
        <v>バックアップ_適用病名マスタ取込用登録</v>
      </c>
      <c r="D272" s="103"/>
      <c r="E272" s="103"/>
      <c r="F272" s="103"/>
      <c r="G272" s="103"/>
      <c r="H272" s="103"/>
      <c r="I272" s="103"/>
      <c r="J272" s="103"/>
      <c r="K272" s="103"/>
      <c r="L272" s="103"/>
      <c r="M272" s="103"/>
      <c r="N272" s="103"/>
      <c r="O272" s="103"/>
      <c r="P272" s="103"/>
      <c r="Q272" s="103"/>
      <c r="R272" s="103"/>
      <c r="S272" s="103"/>
      <c r="T272" s="103"/>
      <c r="U272" s="104"/>
      <c r="W272" s="35" t="str">
        <f>"-- "&amp;C272</f>
        <v>-- バックアップ_適用病名マスタ取込用登録</v>
      </c>
    </row>
    <row r="273" spans="2:23" ht="18.75" customHeight="1">
      <c r="B273" s="43" t="s">
        <v>159</v>
      </c>
      <c r="C273" s="105" t="str">
        <f>C275&amp;"テーブルのレコードを"&amp;R275&amp;"テーブルに格納する。"</f>
        <v>適用病名マスタ取込用テーブルのレコードをバックアップ_適用病名マスタ取込用テーブルに格納する。</v>
      </c>
      <c r="D273" s="106"/>
      <c r="E273" s="106"/>
      <c r="F273" s="106"/>
      <c r="G273" s="106"/>
      <c r="H273" s="106"/>
      <c r="I273" s="106"/>
      <c r="J273" s="106"/>
      <c r="K273" s="106"/>
      <c r="L273" s="106"/>
      <c r="M273" s="106"/>
      <c r="N273" s="106"/>
      <c r="O273" s="106"/>
      <c r="P273" s="106"/>
      <c r="Q273" s="106"/>
      <c r="R273" s="106"/>
      <c r="S273" s="106"/>
      <c r="T273" s="106"/>
      <c r="U273" s="107"/>
      <c r="W273" s="35" t="str">
        <f>"-- "&amp;C273</f>
        <v>-- 適用病名マスタ取込用テーブルのレコードをバックアップ_適用病名マスタ取込用テーブルに格納する。</v>
      </c>
    </row>
    <row r="275" spans="2:23" ht="18.75" customHeight="1">
      <c r="C275" s="96" t="s">
        <v>3574</v>
      </c>
      <c r="D275" s="97"/>
      <c r="E275" s="108" t="s">
        <v>162</v>
      </c>
      <c r="F275" s="36"/>
      <c r="G275" s="36"/>
      <c r="H275" s="36"/>
      <c r="I275" s="36"/>
      <c r="J275" s="36"/>
      <c r="K275" s="36"/>
      <c r="L275" s="36"/>
      <c r="M275" s="36"/>
      <c r="N275" s="36"/>
      <c r="O275" s="36"/>
      <c r="P275" s="36"/>
      <c r="Q275" s="36"/>
      <c r="R275" s="96" t="str">
        <f>"バックアップ_"&amp;SUBSTITUTE(C275,"_結合","")</f>
        <v>バックアップ_適用病名マスタ取込用</v>
      </c>
      <c r="S275" s="97"/>
      <c r="T275" s="100" t="str">
        <f>エンティティ一覧!$O$2</f>
        <v>milscm_2023_010</v>
      </c>
    </row>
    <row r="276" spans="2:23" ht="18.75" customHeight="1">
      <c r="C276" s="98"/>
      <c r="D276" s="99"/>
      <c r="E276" s="109"/>
      <c r="F276" s="37"/>
      <c r="G276" s="37"/>
      <c r="H276" s="37"/>
      <c r="I276" s="37"/>
      <c r="J276" s="37"/>
      <c r="K276" s="37"/>
      <c r="L276" s="37"/>
      <c r="M276" s="37"/>
      <c r="N276" s="37"/>
      <c r="O276" s="37"/>
      <c r="P276" s="37"/>
      <c r="Q276" s="37"/>
      <c r="R276" s="98"/>
      <c r="S276" s="99"/>
      <c r="T276" s="101"/>
    </row>
    <row r="278" spans="2:23" ht="18.75" customHeight="1" thickBot="1">
      <c r="B278" s="42"/>
      <c r="C278" s="42"/>
      <c r="D278" s="42"/>
      <c r="E278" s="42"/>
      <c r="F278" s="42"/>
      <c r="G278" s="42"/>
      <c r="H278" s="42"/>
      <c r="I278" s="42"/>
      <c r="J278" s="42"/>
      <c r="K278" s="42"/>
      <c r="L278" s="42"/>
      <c r="M278" s="42"/>
      <c r="N278" s="42"/>
      <c r="O278" s="42"/>
      <c r="P278" s="42"/>
      <c r="Q278" s="42"/>
      <c r="R278" s="42"/>
      <c r="S278" s="42"/>
      <c r="T278" s="42"/>
      <c r="U278" s="42"/>
    </row>
    <row r="280" spans="2:23" ht="18.75" customHeight="1">
      <c r="B280" s="43" t="s">
        <v>163</v>
      </c>
      <c r="C280" s="51" t="s">
        <v>3575</v>
      </c>
      <c r="D280" s="90"/>
      <c r="W280" s="35" t="str">
        <f>"-- "&amp;B280&amp;" : "&amp;C280</f>
        <v>-- SQL_ID : 01_A3-14</v>
      </c>
    </row>
    <row r="281" spans="2:23" ht="18.75" customHeight="1">
      <c r="B281" s="43" t="s">
        <v>158</v>
      </c>
      <c r="C281" s="102" t="str">
        <f>R284&amp;"登録"</f>
        <v>バックアップ_ＹＪコード医薬品コードリンクマスタ取込用登録</v>
      </c>
      <c r="D281" s="103"/>
      <c r="E281" s="103"/>
      <c r="F281" s="103"/>
      <c r="G281" s="103"/>
      <c r="H281" s="103"/>
      <c r="I281" s="103"/>
      <c r="J281" s="103"/>
      <c r="K281" s="103"/>
      <c r="L281" s="103"/>
      <c r="M281" s="103"/>
      <c r="N281" s="103"/>
      <c r="O281" s="103"/>
      <c r="P281" s="103"/>
      <c r="Q281" s="103"/>
      <c r="R281" s="103"/>
      <c r="S281" s="103"/>
      <c r="T281" s="103"/>
      <c r="U281" s="104"/>
      <c r="W281" s="35" t="str">
        <f>"-- "&amp;C281</f>
        <v>-- バックアップ_ＹＪコード医薬品コードリンクマスタ取込用登録</v>
      </c>
    </row>
    <row r="282" spans="2:23" ht="18.75" customHeight="1">
      <c r="B282" s="43" t="s">
        <v>159</v>
      </c>
      <c r="C282" s="105" t="str">
        <f>C284&amp;"テーブルのレコードを"&amp;R284&amp;"テーブルに格納する。"</f>
        <v>ＹＪコード医薬品コードリンクマスタ取込用テーブルのレコードをバックアップ_ＹＪコード医薬品コードリンクマスタ取込用テーブルに格納する。</v>
      </c>
      <c r="D282" s="106"/>
      <c r="E282" s="106"/>
      <c r="F282" s="106"/>
      <c r="G282" s="106"/>
      <c r="H282" s="106"/>
      <c r="I282" s="106"/>
      <c r="J282" s="106"/>
      <c r="K282" s="106"/>
      <c r="L282" s="106"/>
      <c r="M282" s="106"/>
      <c r="N282" s="106"/>
      <c r="O282" s="106"/>
      <c r="P282" s="106"/>
      <c r="Q282" s="106"/>
      <c r="R282" s="106"/>
      <c r="S282" s="106"/>
      <c r="T282" s="106"/>
      <c r="U282" s="107"/>
      <c r="W282" s="35" t="str">
        <f>"-- "&amp;C282</f>
        <v>-- ＹＪコード医薬品コードリンクマスタ取込用テーブルのレコードをバックアップ_ＹＪコード医薬品コードリンクマスタ取込用テーブルに格納する。</v>
      </c>
    </row>
    <row r="284" spans="2:23" ht="18.75" customHeight="1">
      <c r="C284" s="96" t="s">
        <v>3576</v>
      </c>
      <c r="D284" s="97"/>
      <c r="E284" s="108" t="s">
        <v>162</v>
      </c>
      <c r="F284" s="36"/>
      <c r="G284" s="36"/>
      <c r="H284" s="36"/>
      <c r="I284" s="36"/>
      <c r="J284" s="36"/>
      <c r="K284" s="36"/>
      <c r="L284" s="36"/>
      <c r="M284" s="36"/>
      <c r="N284" s="36"/>
      <c r="O284" s="36"/>
      <c r="P284" s="36"/>
      <c r="Q284" s="36"/>
      <c r="R284" s="114" t="str">
        <f>"バックアップ_"&amp;SUBSTITUTE(C284,"_結合","")</f>
        <v>バックアップ_ＹＪコード医薬品コードリンクマスタ取込用</v>
      </c>
      <c r="S284" s="115"/>
      <c r="T284" s="100" t="str">
        <f>エンティティ一覧!$O$2</f>
        <v>milscm_2023_010</v>
      </c>
    </row>
    <row r="285" spans="2:23" ht="18.75" customHeight="1">
      <c r="C285" s="98"/>
      <c r="D285" s="99"/>
      <c r="E285" s="109"/>
      <c r="F285" s="37"/>
      <c r="G285" s="37"/>
      <c r="H285" s="37"/>
      <c r="I285" s="37"/>
      <c r="J285" s="37"/>
      <c r="K285" s="37"/>
      <c r="L285" s="37"/>
      <c r="M285" s="37"/>
      <c r="N285" s="37"/>
      <c r="O285" s="37"/>
      <c r="P285" s="37"/>
      <c r="Q285" s="37"/>
      <c r="R285" s="116"/>
      <c r="S285" s="117"/>
      <c r="T285" s="101"/>
    </row>
    <row r="287" spans="2:23" ht="18.75" customHeight="1" thickBot="1">
      <c r="B287" s="42"/>
      <c r="C287" s="42"/>
      <c r="D287" s="42"/>
      <c r="E287" s="42"/>
      <c r="F287" s="42"/>
      <c r="G287" s="42"/>
      <c r="H287" s="42"/>
      <c r="I287" s="42"/>
      <c r="J287" s="42"/>
      <c r="K287" s="42"/>
      <c r="L287" s="42"/>
      <c r="M287" s="42"/>
      <c r="N287" s="42"/>
      <c r="O287" s="42"/>
      <c r="P287" s="42"/>
      <c r="Q287" s="42"/>
      <c r="R287" s="42"/>
      <c r="S287" s="42"/>
      <c r="T287" s="42"/>
      <c r="U287" s="42"/>
    </row>
    <row r="289" spans="2:23" ht="18.75" customHeight="1">
      <c r="B289" s="43" t="s">
        <v>163</v>
      </c>
      <c r="C289" s="51" t="s">
        <v>3577</v>
      </c>
      <c r="D289" s="90"/>
      <c r="W289" s="35" t="str">
        <f>"-- "&amp;B289&amp;" : "&amp;C289</f>
        <v>-- SQL_ID : 01_A3-15</v>
      </c>
    </row>
    <row r="290" spans="2:23" ht="18.75" customHeight="1">
      <c r="B290" s="43" t="s">
        <v>158</v>
      </c>
      <c r="C290" s="102" t="str">
        <f>R293&amp;"登録"</f>
        <v>バックアップ_診療行為付加情報マスタ取込用登録</v>
      </c>
      <c r="D290" s="103"/>
      <c r="E290" s="103"/>
      <c r="F290" s="103"/>
      <c r="G290" s="103"/>
      <c r="H290" s="103"/>
      <c r="I290" s="103"/>
      <c r="J290" s="103"/>
      <c r="K290" s="103"/>
      <c r="L290" s="103"/>
      <c r="M290" s="103"/>
      <c r="N290" s="103"/>
      <c r="O290" s="103"/>
      <c r="P290" s="103"/>
      <c r="Q290" s="103"/>
      <c r="R290" s="103"/>
      <c r="S290" s="103"/>
      <c r="T290" s="103"/>
      <c r="U290" s="104"/>
      <c r="W290" s="35" t="str">
        <f>"-- "&amp;C290</f>
        <v>-- バックアップ_診療行為付加情報マスタ取込用登録</v>
      </c>
    </row>
    <row r="291" spans="2:23" ht="18.75" customHeight="1">
      <c r="B291" s="43" t="s">
        <v>159</v>
      </c>
      <c r="C291" s="105" t="str">
        <f>C293&amp;"テーブルのレコードを"&amp;R293&amp;"テーブルに格納する。"</f>
        <v>診療行為付加情報マスタ取込用テーブルのレコードをバックアップ_診療行為付加情報マスタ取込用テーブルに格納する。</v>
      </c>
      <c r="D291" s="106"/>
      <c r="E291" s="106"/>
      <c r="F291" s="106"/>
      <c r="G291" s="106"/>
      <c r="H291" s="106"/>
      <c r="I291" s="106"/>
      <c r="J291" s="106"/>
      <c r="K291" s="106"/>
      <c r="L291" s="106"/>
      <c r="M291" s="106"/>
      <c r="N291" s="106"/>
      <c r="O291" s="106"/>
      <c r="P291" s="106"/>
      <c r="Q291" s="106"/>
      <c r="R291" s="106"/>
      <c r="S291" s="106"/>
      <c r="T291" s="106"/>
      <c r="U291" s="107"/>
      <c r="W291" s="35" t="str">
        <f>"-- "&amp;C291</f>
        <v>-- 診療行為付加情報マスタ取込用テーブルのレコードをバックアップ_診療行為付加情報マスタ取込用テーブルに格納する。</v>
      </c>
    </row>
    <row r="293" spans="2:23" ht="18.75" customHeight="1">
      <c r="C293" s="96" t="s">
        <v>3578</v>
      </c>
      <c r="D293" s="97"/>
      <c r="E293" s="108" t="s">
        <v>162</v>
      </c>
      <c r="F293" s="36"/>
      <c r="G293" s="36"/>
      <c r="H293" s="36"/>
      <c r="I293" s="36"/>
      <c r="J293" s="36"/>
      <c r="K293" s="36"/>
      <c r="L293" s="36"/>
      <c r="M293" s="36"/>
      <c r="N293" s="36"/>
      <c r="O293" s="36"/>
      <c r="P293" s="36"/>
      <c r="Q293" s="36"/>
      <c r="R293" s="96" t="str">
        <f>"バックアップ_"&amp;SUBSTITUTE(C293,"_結合","")</f>
        <v>バックアップ_診療行為付加情報マスタ取込用</v>
      </c>
      <c r="S293" s="97"/>
      <c r="T293" s="100" t="str">
        <f>エンティティ一覧!$O$2</f>
        <v>milscm_2023_010</v>
      </c>
    </row>
    <row r="294" spans="2:23" ht="18.75" customHeight="1">
      <c r="C294" s="98"/>
      <c r="D294" s="99"/>
      <c r="E294" s="109"/>
      <c r="F294" s="37"/>
      <c r="G294" s="37"/>
      <c r="H294" s="37"/>
      <c r="I294" s="37"/>
      <c r="J294" s="37"/>
      <c r="K294" s="37"/>
      <c r="L294" s="37"/>
      <c r="M294" s="37"/>
      <c r="N294" s="37"/>
      <c r="O294" s="37"/>
      <c r="P294" s="37"/>
      <c r="Q294" s="37"/>
      <c r="R294" s="98"/>
      <c r="S294" s="99"/>
      <c r="T294" s="101"/>
    </row>
    <row r="296" spans="2:23" ht="18.75" customHeight="1" thickBot="1">
      <c r="B296" s="42"/>
      <c r="C296" s="42"/>
      <c r="D296" s="42"/>
      <c r="E296" s="42"/>
      <c r="F296" s="42"/>
      <c r="G296" s="42"/>
      <c r="H296" s="42"/>
      <c r="I296" s="42"/>
      <c r="J296" s="42"/>
      <c r="K296" s="42"/>
      <c r="L296" s="42"/>
      <c r="M296" s="42"/>
      <c r="N296" s="42"/>
      <c r="O296" s="42"/>
      <c r="P296" s="42"/>
      <c r="Q296" s="42"/>
      <c r="R296" s="42"/>
      <c r="S296" s="42"/>
      <c r="T296" s="42"/>
      <c r="U296" s="42"/>
    </row>
    <row r="298" spans="2:23" ht="18.75" customHeight="1">
      <c r="B298" s="43" t="s">
        <v>163</v>
      </c>
      <c r="C298" s="51" t="s">
        <v>3579</v>
      </c>
      <c r="D298" s="90"/>
      <c r="W298" s="35" t="str">
        <f>"-- "&amp;B298&amp;" : "&amp;C298</f>
        <v>-- SQL_ID : 01_A3-16</v>
      </c>
    </row>
    <row r="299" spans="2:23" ht="18.75" customHeight="1">
      <c r="B299" s="43" t="s">
        <v>158</v>
      </c>
      <c r="C299" s="102" t="str">
        <f>R302&amp;"登録"</f>
        <v>バックアップ_処理対象施設マスタ登録</v>
      </c>
      <c r="D299" s="103"/>
      <c r="E299" s="103"/>
      <c r="F299" s="103"/>
      <c r="G299" s="103"/>
      <c r="H299" s="103"/>
      <c r="I299" s="103"/>
      <c r="J299" s="103"/>
      <c r="K299" s="103"/>
      <c r="L299" s="103"/>
      <c r="M299" s="103"/>
      <c r="N299" s="103"/>
      <c r="O299" s="103"/>
      <c r="P299" s="103"/>
      <c r="Q299" s="103"/>
      <c r="R299" s="103"/>
      <c r="S299" s="103"/>
      <c r="T299" s="103"/>
      <c r="U299" s="104"/>
      <c r="W299" s="35" t="str">
        <f>"-- "&amp;C299</f>
        <v>-- バックアップ_処理対象施設マスタ登録</v>
      </c>
    </row>
    <row r="300" spans="2:23" ht="18.75" customHeight="1">
      <c r="B300" s="43" t="s">
        <v>159</v>
      </c>
      <c r="C300" s="105" t="str">
        <f>C302&amp;"テーブルのレコードを"&amp;R302&amp;"テーブルに格納する。"</f>
        <v>処理対象施設マスタテーブルのレコードをバックアップ_処理対象施設マスタテーブルに格納する。</v>
      </c>
      <c r="D300" s="106"/>
      <c r="E300" s="106"/>
      <c r="F300" s="106"/>
      <c r="G300" s="106"/>
      <c r="H300" s="106"/>
      <c r="I300" s="106"/>
      <c r="J300" s="106"/>
      <c r="K300" s="106"/>
      <c r="L300" s="106"/>
      <c r="M300" s="106"/>
      <c r="N300" s="106"/>
      <c r="O300" s="106"/>
      <c r="P300" s="106"/>
      <c r="Q300" s="106"/>
      <c r="R300" s="106"/>
      <c r="S300" s="106"/>
      <c r="T300" s="106"/>
      <c r="U300" s="107"/>
      <c r="W300" s="35" t="str">
        <f>"-- "&amp;C300</f>
        <v>-- 処理対象施設マスタテーブルのレコードをバックアップ_処理対象施設マスタテーブルに格納する。</v>
      </c>
    </row>
    <row r="302" spans="2:23" ht="18.75" customHeight="1">
      <c r="C302" s="96" t="s">
        <v>3580</v>
      </c>
      <c r="D302" s="97"/>
      <c r="E302" s="108" t="s">
        <v>162</v>
      </c>
      <c r="F302" s="36"/>
      <c r="G302" s="36"/>
      <c r="H302" s="36"/>
      <c r="I302" s="36"/>
      <c r="J302" s="36"/>
      <c r="K302" s="36"/>
      <c r="L302" s="36"/>
      <c r="M302" s="36"/>
      <c r="N302" s="36"/>
      <c r="O302" s="36"/>
      <c r="P302" s="36"/>
      <c r="Q302" s="36"/>
      <c r="R302" s="96" t="str">
        <f>"バックアップ_"&amp;SUBSTITUTE(C302,"_結合","")</f>
        <v>バックアップ_処理対象施設マスタ</v>
      </c>
      <c r="S302" s="97"/>
      <c r="T302" s="100" t="str">
        <f>エンティティ一覧!$O$2</f>
        <v>milscm_2023_010</v>
      </c>
    </row>
    <row r="303" spans="2:23" ht="18.75" customHeight="1">
      <c r="C303" s="98"/>
      <c r="D303" s="99"/>
      <c r="E303" s="109"/>
      <c r="F303" s="37"/>
      <c r="G303" s="37"/>
      <c r="H303" s="37"/>
      <c r="I303" s="37"/>
      <c r="J303" s="37"/>
      <c r="K303" s="37"/>
      <c r="L303" s="37"/>
      <c r="M303" s="37"/>
      <c r="N303" s="37"/>
      <c r="O303" s="37"/>
      <c r="P303" s="37"/>
      <c r="Q303" s="37"/>
      <c r="R303" s="98"/>
      <c r="S303" s="99"/>
      <c r="T303" s="101"/>
    </row>
    <row r="305" spans="2:23" ht="18.75" customHeight="1" thickBot="1">
      <c r="B305" s="42"/>
      <c r="C305" s="42"/>
      <c r="D305" s="42"/>
      <c r="E305" s="42"/>
      <c r="F305" s="42"/>
      <c r="G305" s="42"/>
      <c r="H305" s="42"/>
      <c r="I305" s="42"/>
      <c r="J305" s="42"/>
      <c r="K305" s="42"/>
      <c r="L305" s="42"/>
      <c r="M305" s="42"/>
      <c r="N305" s="42"/>
      <c r="O305" s="42"/>
      <c r="P305" s="42"/>
      <c r="Q305" s="42"/>
      <c r="R305" s="42"/>
      <c r="S305" s="42"/>
      <c r="T305" s="42"/>
      <c r="U305" s="42"/>
    </row>
    <row r="307" spans="2:23" ht="18.75" customHeight="1">
      <c r="B307" s="43" t="s">
        <v>163</v>
      </c>
      <c r="C307" s="51" t="s">
        <v>3581</v>
      </c>
      <c r="D307" s="90"/>
      <c r="W307" s="35" t="str">
        <f>"-- "&amp;B307&amp;" : "&amp;C307</f>
        <v>-- SQL_ID : 01_A3-17</v>
      </c>
    </row>
    <row r="308" spans="2:23" ht="18.75" customHeight="1">
      <c r="B308" s="43" t="s">
        <v>158</v>
      </c>
      <c r="C308" s="102" t="str">
        <f>R311&amp;"登録"</f>
        <v>バックアップ_処理対象施設マスタ管理登録</v>
      </c>
      <c r="D308" s="103"/>
      <c r="E308" s="103"/>
      <c r="F308" s="103"/>
      <c r="G308" s="103"/>
      <c r="H308" s="103"/>
      <c r="I308" s="103"/>
      <c r="J308" s="103"/>
      <c r="K308" s="103"/>
      <c r="L308" s="103"/>
      <c r="M308" s="103"/>
      <c r="N308" s="103"/>
      <c r="O308" s="103"/>
      <c r="P308" s="103"/>
      <c r="Q308" s="103"/>
      <c r="R308" s="103"/>
      <c r="S308" s="103"/>
      <c r="T308" s="103"/>
      <c r="U308" s="104"/>
      <c r="W308" s="35" t="str">
        <f>"-- "&amp;C308</f>
        <v>-- バックアップ_処理対象施設マスタ管理登録</v>
      </c>
    </row>
    <row r="309" spans="2:23" ht="18.75" customHeight="1">
      <c r="B309" s="43" t="s">
        <v>159</v>
      </c>
      <c r="C309" s="105" t="str">
        <f>C311&amp;"テーブルのレコードを"&amp;R311&amp;"テーブルに格納する。"</f>
        <v>処理対象施設マスタ管理テーブルのレコードをバックアップ_処理対象施設マスタ管理テーブルに格納する。</v>
      </c>
      <c r="D309" s="106"/>
      <c r="E309" s="106"/>
      <c r="F309" s="106"/>
      <c r="G309" s="106"/>
      <c r="H309" s="106"/>
      <c r="I309" s="106"/>
      <c r="J309" s="106"/>
      <c r="K309" s="106"/>
      <c r="L309" s="106"/>
      <c r="M309" s="106"/>
      <c r="N309" s="106"/>
      <c r="O309" s="106"/>
      <c r="P309" s="106"/>
      <c r="Q309" s="106"/>
      <c r="R309" s="106"/>
      <c r="S309" s="106"/>
      <c r="T309" s="106"/>
      <c r="U309" s="107"/>
      <c r="W309" s="35" t="str">
        <f>"-- "&amp;C309</f>
        <v>-- 処理対象施設マスタ管理テーブルのレコードをバックアップ_処理対象施設マスタ管理テーブルに格納する。</v>
      </c>
    </row>
    <row r="311" spans="2:23" ht="18.75" customHeight="1">
      <c r="C311" s="96" t="s">
        <v>3582</v>
      </c>
      <c r="D311" s="97"/>
      <c r="E311" s="108" t="s">
        <v>162</v>
      </c>
      <c r="F311" s="36"/>
      <c r="G311" s="36"/>
      <c r="H311" s="36"/>
      <c r="I311" s="36"/>
      <c r="J311" s="36"/>
      <c r="K311" s="36"/>
      <c r="L311" s="36"/>
      <c r="M311" s="36"/>
      <c r="N311" s="36"/>
      <c r="O311" s="36"/>
      <c r="P311" s="36"/>
      <c r="Q311" s="36"/>
      <c r="R311" s="96" t="str">
        <f>"バックアップ_"&amp;SUBSTITUTE(C311,"_結合","")</f>
        <v>バックアップ_処理対象施設マスタ管理</v>
      </c>
      <c r="S311" s="97"/>
      <c r="T311" s="100" t="str">
        <f>エンティティ一覧!$O$2</f>
        <v>milscm_2023_010</v>
      </c>
    </row>
    <row r="312" spans="2:23" ht="18.75" customHeight="1">
      <c r="C312" s="98"/>
      <c r="D312" s="99"/>
      <c r="E312" s="109"/>
      <c r="F312" s="37"/>
      <c r="G312" s="37"/>
      <c r="H312" s="37"/>
      <c r="I312" s="37"/>
      <c r="J312" s="37"/>
      <c r="K312" s="37"/>
      <c r="L312" s="37"/>
      <c r="M312" s="37"/>
      <c r="N312" s="37"/>
      <c r="O312" s="37"/>
      <c r="P312" s="37"/>
      <c r="Q312" s="37"/>
      <c r="R312" s="98"/>
      <c r="S312" s="99"/>
      <c r="T312" s="101"/>
    </row>
    <row r="314" spans="2:23" ht="18.75" customHeight="1" thickBot="1">
      <c r="B314" s="42"/>
      <c r="C314" s="42"/>
      <c r="D314" s="42"/>
      <c r="E314" s="42"/>
      <c r="F314" s="42"/>
      <c r="G314" s="42"/>
      <c r="H314" s="42"/>
      <c r="I314" s="42"/>
      <c r="J314" s="42"/>
      <c r="K314" s="42"/>
      <c r="L314" s="42"/>
      <c r="M314" s="42"/>
      <c r="N314" s="42"/>
      <c r="O314" s="42"/>
      <c r="P314" s="42"/>
      <c r="Q314" s="42"/>
      <c r="R314" s="42"/>
      <c r="S314" s="42"/>
      <c r="T314" s="42"/>
      <c r="U314" s="42"/>
    </row>
    <row r="316" spans="2:23" ht="18.75" customHeight="1">
      <c r="B316" s="43" t="s">
        <v>163</v>
      </c>
      <c r="C316" s="51" t="s">
        <v>3583</v>
      </c>
      <c r="D316" s="90"/>
      <c r="W316" s="35" t="str">
        <f>"-- "&amp;B316&amp;" : "&amp;C316</f>
        <v>-- SQL_ID : 01_A3-18</v>
      </c>
    </row>
    <row r="317" spans="2:23" ht="18.75" customHeight="1">
      <c r="B317" s="43" t="s">
        <v>158</v>
      </c>
      <c r="C317" s="102" t="str">
        <f>R320&amp;"登録"</f>
        <v>バックアップ_医薬品マスタ登録</v>
      </c>
      <c r="D317" s="103"/>
      <c r="E317" s="103"/>
      <c r="F317" s="103"/>
      <c r="G317" s="103"/>
      <c r="H317" s="103"/>
      <c r="I317" s="103"/>
      <c r="J317" s="103"/>
      <c r="K317" s="103"/>
      <c r="L317" s="103"/>
      <c r="M317" s="103"/>
      <c r="N317" s="103"/>
      <c r="O317" s="103"/>
      <c r="P317" s="103"/>
      <c r="Q317" s="103"/>
      <c r="R317" s="103"/>
      <c r="S317" s="103"/>
      <c r="T317" s="103"/>
      <c r="U317" s="104"/>
      <c r="W317" s="35" t="str">
        <f>"-- "&amp;C317</f>
        <v>-- バックアップ_医薬品マスタ登録</v>
      </c>
    </row>
    <row r="318" spans="2:23" ht="18.75" customHeight="1">
      <c r="B318" s="43" t="s">
        <v>159</v>
      </c>
      <c r="C318" s="105" t="str">
        <f>C320&amp;"テーブルのレコードを"&amp;R320&amp;"テーブルに格納する。"</f>
        <v>医薬品マスタテーブルのレコードをバックアップ_医薬品マスタテーブルに格納する。</v>
      </c>
      <c r="D318" s="106"/>
      <c r="E318" s="106"/>
      <c r="F318" s="106"/>
      <c r="G318" s="106"/>
      <c r="H318" s="106"/>
      <c r="I318" s="106"/>
      <c r="J318" s="106"/>
      <c r="K318" s="106"/>
      <c r="L318" s="106"/>
      <c r="M318" s="106"/>
      <c r="N318" s="106"/>
      <c r="O318" s="106"/>
      <c r="P318" s="106"/>
      <c r="Q318" s="106"/>
      <c r="R318" s="106"/>
      <c r="S318" s="106"/>
      <c r="T318" s="106"/>
      <c r="U318" s="107"/>
      <c r="W318" s="35" t="str">
        <f>"-- "&amp;C318</f>
        <v>-- 医薬品マスタテーブルのレコードをバックアップ_医薬品マスタテーブルに格納する。</v>
      </c>
    </row>
    <row r="320" spans="2:23" ht="18.75" customHeight="1">
      <c r="C320" s="96" t="s">
        <v>3584</v>
      </c>
      <c r="D320" s="97"/>
      <c r="E320" s="108" t="s">
        <v>162</v>
      </c>
      <c r="F320" s="36"/>
      <c r="G320" s="36"/>
      <c r="H320" s="36"/>
      <c r="I320" s="36"/>
      <c r="J320" s="36"/>
      <c r="K320" s="36"/>
      <c r="L320" s="36"/>
      <c r="M320" s="36"/>
      <c r="N320" s="36"/>
      <c r="O320" s="36"/>
      <c r="P320" s="36"/>
      <c r="Q320" s="36"/>
      <c r="R320" s="96" t="str">
        <f>"バックアップ_"&amp;SUBSTITUTE(C320,"_結合","")</f>
        <v>バックアップ_医薬品マスタ</v>
      </c>
      <c r="S320" s="97"/>
      <c r="T320" s="100" t="str">
        <f>エンティティ一覧!$O$2</f>
        <v>milscm_2023_010</v>
      </c>
    </row>
    <row r="321" spans="2:23" ht="18.75" customHeight="1">
      <c r="C321" s="98"/>
      <c r="D321" s="99"/>
      <c r="E321" s="109"/>
      <c r="F321" s="37"/>
      <c r="G321" s="37"/>
      <c r="H321" s="37"/>
      <c r="I321" s="37"/>
      <c r="J321" s="37"/>
      <c r="K321" s="37"/>
      <c r="L321" s="37"/>
      <c r="M321" s="37"/>
      <c r="N321" s="37"/>
      <c r="O321" s="37"/>
      <c r="P321" s="37"/>
      <c r="Q321" s="37"/>
      <c r="R321" s="98"/>
      <c r="S321" s="99"/>
      <c r="T321" s="101"/>
    </row>
    <row r="323" spans="2:23" ht="18.75" customHeight="1" thickBot="1">
      <c r="B323" s="42"/>
      <c r="C323" s="42"/>
      <c r="D323" s="42"/>
      <c r="E323" s="42"/>
      <c r="F323" s="42"/>
      <c r="G323" s="42"/>
      <c r="H323" s="42"/>
      <c r="I323" s="42"/>
      <c r="J323" s="42"/>
      <c r="K323" s="42"/>
      <c r="L323" s="42"/>
      <c r="M323" s="42"/>
      <c r="N323" s="42"/>
      <c r="O323" s="42"/>
      <c r="P323" s="42"/>
      <c r="Q323" s="42"/>
      <c r="R323" s="42"/>
      <c r="S323" s="42"/>
      <c r="T323" s="42"/>
      <c r="U323" s="42"/>
    </row>
    <row r="325" spans="2:23" ht="18.75" customHeight="1">
      <c r="B325" s="43" t="s">
        <v>163</v>
      </c>
      <c r="C325" s="51" t="s">
        <v>3585</v>
      </c>
      <c r="D325" s="90"/>
      <c r="W325" s="35" t="str">
        <f>"-- "&amp;B325&amp;" : "&amp;C325</f>
        <v>-- SQL_ID : 01_A3-19</v>
      </c>
    </row>
    <row r="326" spans="2:23" ht="18.75" customHeight="1">
      <c r="B326" s="43" t="s">
        <v>158</v>
      </c>
      <c r="C326" s="102" t="str">
        <f>R329&amp;"登録"</f>
        <v>バックアップ_医薬品ブランドマスタ登録</v>
      </c>
      <c r="D326" s="103"/>
      <c r="E326" s="103"/>
      <c r="F326" s="103"/>
      <c r="G326" s="103"/>
      <c r="H326" s="103"/>
      <c r="I326" s="103"/>
      <c r="J326" s="103"/>
      <c r="K326" s="103"/>
      <c r="L326" s="103"/>
      <c r="M326" s="103"/>
      <c r="N326" s="103"/>
      <c r="O326" s="103"/>
      <c r="P326" s="103"/>
      <c r="Q326" s="103"/>
      <c r="R326" s="103"/>
      <c r="S326" s="103"/>
      <c r="T326" s="103"/>
      <c r="U326" s="104"/>
      <c r="W326" s="35" t="str">
        <f>"-- "&amp;C326</f>
        <v>-- バックアップ_医薬品ブランドマスタ登録</v>
      </c>
    </row>
    <row r="327" spans="2:23" ht="18.75" customHeight="1">
      <c r="B327" s="43" t="s">
        <v>159</v>
      </c>
      <c r="C327" s="105" t="str">
        <f>C329&amp;"テーブルのレコードを"&amp;R329&amp;"テーブルに格納する。"</f>
        <v>医薬品ブランドマスタテーブルのレコードをバックアップ_医薬品ブランドマスタテーブルに格納する。</v>
      </c>
      <c r="D327" s="106"/>
      <c r="E327" s="106"/>
      <c r="F327" s="106"/>
      <c r="G327" s="106"/>
      <c r="H327" s="106"/>
      <c r="I327" s="106"/>
      <c r="J327" s="106"/>
      <c r="K327" s="106"/>
      <c r="L327" s="106"/>
      <c r="M327" s="106"/>
      <c r="N327" s="106"/>
      <c r="O327" s="106"/>
      <c r="P327" s="106"/>
      <c r="Q327" s="106"/>
      <c r="R327" s="106"/>
      <c r="S327" s="106"/>
      <c r="T327" s="106"/>
      <c r="U327" s="107"/>
      <c r="W327" s="35" t="str">
        <f>"-- "&amp;C327</f>
        <v>-- 医薬品ブランドマスタテーブルのレコードをバックアップ_医薬品ブランドマスタテーブルに格納する。</v>
      </c>
    </row>
    <row r="329" spans="2:23" ht="18.75" customHeight="1">
      <c r="C329" s="96" t="s">
        <v>3586</v>
      </c>
      <c r="D329" s="97"/>
      <c r="E329" s="108" t="s">
        <v>162</v>
      </c>
      <c r="F329" s="36"/>
      <c r="G329" s="36"/>
      <c r="H329" s="36"/>
      <c r="I329" s="36"/>
      <c r="J329" s="36"/>
      <c r="K329" s="36"/>
      <c r="L329" s="36"/>
      <c r="M329" s="36"/>
      <c r="N329" s="36"/>
      <c r="O329" s="36"/>
      <c r="P329" s="36"/>
      <c r="Q329" s="36"/>
      <c r="R329" s="96" t="str">
        <f>"バックアップ_"&amp;SUBSTITUTE(C329,"_結合","")</f>
        <v>バックアップ_医薬品ブランドマスタ</v>
      </c>
      <c r="S329" s="97"/>
      <c r="T329" s="100" t="str">
        <f>エンティティ一覧!$O$2</f>
        <v>milscm_2023_010</v>
      </c>
    </row>
    <row r="330" spans="2:23" ht="18.75" customHeight="1">
      <c r="C330" s="98"/>
      <c r="D330" s="99"/>
      <c r="E330" s="109"/>
      <c r="F330" s="37"/>
      <c r="G330" s="37"/>
      <c r="H330" s="37"/>
      <c r="I330" s="37"/>
      <c r="J330" s="37"/>
      <c r="K330" s="37"/>
      <c r="L330" s="37"/>
      <c r="M330" s="37"/>
      <c r="N330" s="37"/>
      <c r="O330" s="37"/>
      <c r="P330" s="37"/>
      <c r="Q330" s="37"/>
      <c r="R330" s="98"/>
      <c r="S330" s="99"/>
      <c r="T330" s="101"/>
    </row>
    <row r="332" spans="2:23" ht="18.75" customHeight="1" thickBot="1">
      <c r="B332" s="42"/>
      <c r="C332" s="42"/>
      <c r="D332" s="42"/>
      <c r="E332" s="42"/>
      <c r="F332" s="42"/>
      <c r="G332" s="42"/>
      <c r="H332" s="42"/>
      <c r="I332" s="42"/>
      <c r="J332" s="42"/>
      <c r="K332" s="42"/>
      <c r="L332" s="42"/>
      <c r="M332" s="42"/>
      <c r="N332" s="42"/>
      <c r="O332" s="42"/>
      <c r="P332" s="42"/>
      <c r="Q332" s="42"/>
      <c r="R332" s="42"/>
      <c r="S332" s="42"/>
      <c r="T332" s="42"/>
      <c r="U332" s="42"/>
    </row>
    <row r="334" spans="2:23" ht="18.75" customHeight="1">
      <c r="B334" s="43" t="s">
        <v>163</v>
      </c>
      <c r="C334" s="51" t="s">
        <v>3587</v>
      </c>
      <c r="D334" s="90"/>
      <c r="W334" s="35" t="str">
        <f>"-- "&amp;B334&amp;" : "&amp;C334</f>
        <v>-- SQL_ID : 01_A3-20</v>
      </c>
    </row>
    <row r="335" spans="2:23" ht="18.75" customHeight="1">
      <c r="B335" s="43" t="s">
        <v>158</v>
      </c>
      <c r="C335" s="102" t="str">
        <f>R338&amp;"登録"</f>
        <v>バックアップ_医薬品一般名マスタ登録</v>
      </c>
      <c r="D335" s="103"/>
      <c r="E335" s="103"/>
      <c r="F335" s="103"/>
      <c r="G335" s="103"/>
      <c r="H335" s="103"/>
      <c r="I335" s="103"/>
      <c r="J335" s="103"/>
      <c r="K335" s="103"/>
      <c r="L335" s="103"/>
      <c r="M335" s="103"/>
      <c r="N335" s="103"/>
      <c r="O335" s="103"/>
      <c r="P335" s="103"/>
      <c r="Q335" s="103"/>
      <c r="R335" s="103"/>
      <c r="S335" s="103"/>
      <c r="T335" s="103"/>
      <c r="U335" s="104"/>
      <c r="W335" s="35" t="str">
        <f>"-- "&amp;C335</f>
        <v>-- バックアップ_医薬品一般名マスタ登録</v>
      </c>
    </row>
    <row r="336" spans="2:23" ht="18.75" customHeight="1">
      <c r="B336" s="43" t="s">
        <v>159</v>
      </c>
      <c r="C336" s="105" t="str">
        <f>C338&amp;"テーブルのレコードを"&amp;R338&amp;"テーブルに格納する。"</f>
        <v>医薬品一般名マスタテーブルのレコードをバックアップ_医薬品一般名マスタテーブルに格納する。</v>
      </c>
      <c r="D336" s="106"/>
      <c r="E336" s="106"/>
      <c r="F336" s="106"/>
      <c r="G336" s="106"/>
      <c r="H336" s="106"/>
      <c r="I336" s="106"/>
      <c r="J336" s="106"/>
      <c r="K336" s="106"/>
      <c r="L336" s="106"/>
      <c r="M336" s="106"/>
      <c r="N336" s="106"/>
      <c r="O336" s="106"/>
      <c r="P336" s="106"/>
      <c r="Q336" s="106"/>
      <c r="R336" s="106"/>
      <c r="S336" s="106"/>
      <c r="T336" s="106"/>
      <c r="U336" s="107"/>
      <c r="W336" s="35" t="str">
        <f>"-- "&amp;C336</f>
        <v>-- 医薬品一般名マスタテーブルのレコードをバックアップ_医薬品一般名マスタテーブルに格納する。</v>
      </c>
    </row>
    <row r="338" spans="2:23" ht="18.75" customHeight="1">
      <c r="C338" s="96" t="s">
        <v>3588</v>
      </c>
      <c r="D338" s="97"/>
      <c r="E338" s="108" t="s">
        <v>162</v>
      </c>
      <c r="F338" s="36"/>
      <c r="G338" s="36"/>
      <c r="H338" s="36"/>
      <c r="I338" s="36"/>
      <c r="J338" s="36"/>
      <c r="K338" s="36"/>
      <c r="L338" s="36"/>
      <c r="M338" s="36"/>
      <c r="N338" s="36"/>
      <c r="O338" s="36"/>
      <c r="P338" s="36"/>
      <c r="Q338" s="36"/>
      <c r="R338" s="96" t="str">
        <f>"バックアップ_"&amp;SUBSTITUTE(C338,"_結合","")</f>
        <v>バックアップ_医薬品一般名マスタ</v>
      </c>
      <c r="S338" s="97"/>
      <c r="T338" s="100" t="str">
        <f>エンティティ一覧!$O$2</f>
        <v>milscm_2023_010</v>
      </c>
    </row>
    <row r="339" spans="2:23" ht="18.75" customHeight="1">
      <c r="C339" s="98"/>
      <c r="D339" s="99"/>
      <c r="E339" s="109"/>
      <c r="F339" s="37"/>
      <c r="G339" s="37"/>
      <c r="H339" s="37"/>
      <c r="I339" s="37"/>
      <c r="J339" s="37"/>
      <c r="K339" s="37"/>
      <c r="L339" s="37"/>
      <c r="M339" s="37"/>
      <c r="N339" s="37"/>
      <c r="O339" s="37"/>
      <c r="P339" s="37"/>
      <c r="Q339" s="37"/>
      <c r="R339" s="98"/>
      <c r="S339" s="99"/>
      <c r="T339" s="101"/>
    </row>
    <row r="341" spans="2:23" ht="18.75" customHeight="1" thickBot="1">
      <c r="B341" s="42"/>
      <c r="C341" s="42"/>
      <c r="D341" s="42"/>
      <c r="E341" s="42"/>
      <c r="F341" s="42"/>
      <c r="G341" s="42"/>
      <c r="H341" s="42"/>
      <c r="I341" s="42"/>
      <c r="J341" s="42"/>
      <c r="K341" s="42"/>
      <c r="L341" s="42"/>
      <c r="M341" s="42"/>
      <c r="N341" s="42"/>
      <c r="O341" s="42"/>
      <c r="P341" s="42"/>
      <c r="Q341" s="42"/>
      <c r="R341" s="42"/>
      <c r="S341" s="42"/>
      <c r="T341" s="42"/>
      <c r="U341" s="42"/>
    </row>
    <row r="343" spans="2:23" ht="18.75" customHeight="1">
      <c r="B343" s="43" t="s">
        <v>163</v>
      </c>
      <c r="C343" s="51" t="s">
        <v>3589</v>
      </c>
      <c r="D343" s="90"/>
      <c r="W343" s="35" t="str">
        <f>"-- "&amp;B343&amp;" : "&amp;C343</f>
        <v>-- SQL_ID : 01_A3-21</v>
      </c>
    </row>
    <row r="344" spans="2:23" ht="18.75" customHeight="1">
      <c r="B344" s="43" t="s">
        <v>158</v>
      </c>
      <c r="C344" s="102" t="str">
        <f>R347&amp;"登録"</f>
        <v>バックアップ_医薬品販売会社マスタ登録</v>
      </c>
      <c r="D344" s="103"/>
      <c r="E344" s="103"/>
      <c r="F344" s="103"/>
      <c r="G344" s="103"/>
      <c r="H344" s="103"/>
      <c r="I344" s="103"/>
      <c r="J344" s="103"/>
      <c r="K344" s="103"/>
      <c r="L344" s="103"/>
      <c r="M344" s="103"/>
      <c r="N344" s="103"/>
      <c r="O344" s="103"/>
      <c r="P344" s="103"/>
      <c r="Q344" s="103"/>
      <c r="R344" s="103"/>
      <c r="S344" s="103"/>
      <c r="T344" s="103"/>
      <c r="U344" s="104"/>
      <c r="W344" s="35" t="str">
        <f>"-- "&amp;C344</f>
        <v>-- バックアップ_医薬品販売会社マスタ登録</v>
      </c>
    </row>
    <row r="345" spans="2:23" ht="18.75" customHeight="1">
      <c r="B345" s="43" t="s">
        <v>159</v>
      </c>
      <c r="C345" s="105" t="str">
        <f>C347&amp;"テーブルのレコードを"&amp;R347&amp;"テーブルに格納する。"</f>
        <v>医薬品販売会社マスタテーブルのレコードをバックアップ_医薬品販売会社マスタテーブルに格納する。</v>
      </c>
      <c r="D345" s="106"/>
      <c r="E345" s="106"/>
      <c r="F345" s="106"/>
      <c r="G345" s="106"/>
      <c r="H345" s="106"/>
      <c r="I345" s="106"/>
      <c r="J345" s="106"/>
      <c r="K345" s="106"/>
      <c r="L345" s="106"/>
      <c r="M345" s="106"/>
      <c r="N345" s="106"/>
      <c r="O345" s="106"/>
      <c r="P345" s="106"/>
      <c r="Q345" s="106"/>
      <c r="R345" s="106"/>
      <c r="S345" s="106"/>
      <c r="T345" s="106"/>
      <c r="U345" s="107"/>
      <c r="W345" s="35" t="str">
        <f>"-- "&amp;C345</f>
        <v>-- 医薬品販売会社マスタテーブルのレコードをバックアップ_医薬品販売会社マスタテーブルに格納する。</v>
      </c>
    </row>
    <row r="347" spans="2:23" ht="18.75" customHeight="1">
      <c r="C347" s="96" t="s">
        <v>3590</v>
      </c>
      <c r="D347" s="97"/>
      <c r="E347" s="108" t="s">
        <v>162</v>
      </c>
      <c r="F347" s="36"/>
      <c r="G347" s="36"/>
      <c r="H347" s="36"/>
      <c r="I347" s="36"/>
      <c r="J347" s="36"/>
      <c r="K347" s="36"/>
      <c r="L347" s="36"/>
      <c r="M347" s="36"/>
      <c r="N347" s="36"/>
      <c r="O347" s="36"/>
      <c r="P347" s="36"/>
      <c r="Q347" s="36"/>
      <c r="R347" s="96" t="str">
        <f>"バックアップ_"&amp;SUBSTITUTE(C347,"_結合","")</f>
        <v>バックアップ_医薬品販売会社マスタ</v>
      </c>
      <c r="S347" s="97"/>
      <c r="T347" s="100" t="str">
        <f>エンティティ一覧!$O$2</f>
        <v>milscm_2023_010</v>
      </c>
    </row>
    <row r="348" spans="2:23" ht="18.75" customHeight="1">
      <c r="C348" s="98"/>
      <c r="D348" s="99"/>
      <c r="E348" s="109"/>
      <c r="F348" s="37"/>
      <c r="G348" s="37"/>
      <c r="H348" s="37"/>
      <c r="I348" s="37"/>
      <c r="J348" s="37"/>
      <c r="K348" s="37"/>
      <c r="L348" s="37"/>
      <c r="M348" s="37"/>
      <c r="N348" s="37"/>
      <c r="O348" s="37"/>
      <c r="P348" s="37"/>
      <c r="Q348" s="37"/>
      <c r="R348" s="98"/>
      <c r="S348" s="99"/>
      <c r="T348" s="101"/>
    </row>
    <row r="350" spans="2:23" ht="18.75" customHeight="1" thickBot="1">
      <c r="B350" s="42"/>
      <c r="C350" s="42"/>
      <c r="D350" s="42"/>
      <c r="E350" s="42"/>
      <c r="F350" s="42"/>
      <c r="G350" s="42"/>
      <c r="H350" s="42"/>
      <c r="I350" s="42"/>
      <c r="J350" s="42"/>
      <c r="K350" s="42"/>
      <c r="L350" s="42"/>
      <c r="M350" s="42"/>
      <c r="N350" s="42"/>
      <c r="O350" s="42"/>
      <c r="P350" s="42"/>
      <c r="Q350" s="42"/>
      <c r="R350" s="42"/>
      <c r="S350" s="42"/>
      <c r="T350" s="42"/>
      <c r="U350" s="42"/>
    </row>
    <row r="352" spans="2:23" ht="18.75" customHeight="1">
      <c r="B352" s="43" t="s">
        <v>163</v>
      </c>
      <c r="C352" s="51" t="s">
        <v>3591</v>
      </c>
      <c r="D352" s="90"/>
      <c r="W352" s="35" t="str">
        <f>"-- "&amp;B352&amp;" : "&amp;C352</f>
        <v>-- SQL_ID : 01_A3-22</v>
      </c>
    </row>
    <row r="353" spans="2:23" ht="18.75" customHeight="1">
      <c r="B353" s="43" t="s">
        <v>158</v>
      </c>
      <c r="C353" s="102" t="str">
        <f>R356&amp;"登録"</f>
        <v>バックアップ_メーカマスタ登録</v>
      </c>
      <c r="D353" s="103"/>
      <c r="E353" s="103"/>
      <c r="F353" s="103"/>
      <c r="G353" s="103"/>
      <c r="H353" s="103"/>
      <c r="I353" s="103"/>
      <c r="J353" s="103"/>
      <c r="K353" s="103"/>
      <c r="L353" s="103"/>
      <c r="M353" s="103"/>
      <c r="N353" s="103"/>
      <c r="O353" s="103"/>
      <c r="P353" s="103"/>
      <c r="Q353" s="103"/>
      <c r="R353" s="103"/>
      <c r="S353" s="103"/>
      <c r="T353" s="103"/>
      <c r="U353" s="104"/>
      <c r="W353" s="35" t="str">
        <f>"-- "&amp;C353</f>
        <v>-- バックアップ_メーカマスタ登録</v>
      </c>
    </row>
    <row r="354" spans="2:23" ht="18.75" customHeight="1">
      <c r="B354" s="43" t="s">
        <v>159</v>
      </c>
      <c r="C354" s="105" t="str">
        <f>C356&amp;"テーブルのレコードを"&amp;R356&amp;"テーブルに格納する。"</f>
        <v>メーカマスタテーブルのレコードをバックアップ_メーカマスタテーブルに格納する。</v>
      </c>
      <c r="D354" s="106"/>
      <c r="E354" s="106"/>
      <c r="F354" s="106"/>
      <c r="G354" s="106"/>
      <c r="H354" s="106"/>
      <c r="I354" s="106"/>
      <c r="J354" s="106"/>
      <c r="K354" s="106"/>
      <c r="L354" s="106"/>
      <c r="M354" s="106"/>
      <c r="N354" s="106"/>
      <c r="O354" s="106"/>
      <c r="P354" s="106"/>
      <c r="Q354" s="106"/>
      <c r="R354" s="106"/>
      <c r="S354" s="106"/>
      <c r="T354" s="106"/>
      <c r="U354" s="107"/>
      <c r="W354" s="35" t="str">
        <f>"-- "&amp;C354</f>
        <v>-- メーカマスタテーブルのレコードをバックアップ_メーカマスタテーブルに格納する。</v>
      </c>
    </row>
    <row r="356" spans="2:23" ht="18.75" customHeight="1">
      <c r="C356" s="96" t="s">
        <v>3592</v>
      </c>
      <c r="D356" s="97"/>
      <c r="E356" s="108" t="s">
        <v>162</v>
      </c>
      <c r="F356" s="36"/>
      <c r="G356" s="36"/>
      <c r="H356" s="36"/>
      <c r="I356" s="36"/>
      <c r="J356" s="36"/>
      <c r="K356" s="36"/>
      <c r="L356" s="36"/>
      <c r="M356" s="36"/>
      <c r="N356" s="36"/>
      <c r="O356" s="36"/>
      <c r="P356" s="36"/>
      <c r="Q356" s="36"/>
      <c r="R356" s="96" t="str">
        <f>"バックアップ_"&amp;SUBSTITUTE(C356,"_結合","")</f>
        <v>バックアップ_メーカマスタ</v>
      </c>
      <c r="S356" s="97"/>
      <c r="T356" s="100" t="str">
        <f>エンティティ一覧!$O$2</f>
        <v>milscm_2023_010</v>
      </c>
    </row>
    <row r="357" spans="2:23" ht="18.75" customHeight="1">
      <c r="C357" s="98"/>
      <c r="D357" s="99"/>
      <c r="E357" s="109"/>
      <c r="F357" s="37"/>
      <c r="G357" s="37"/>
      <c r="H357" s="37"/>
      <c r="I357" s="37"/>
      <c r="J357" s="37"/>
      <c r="K357" s="37"/>
      <c r="L357" s="37"/>
      <c r="M357" s="37"/>
      <c r="N357" s="37"/>
      <c r="O357" s="37"/>
      <c r="P357" s="37"/>
      <c r="Q357" s="37"/>
      <c r="R357" s="98"/>
      <c r="S357" s="99"/>
      <c r="T357" s="101"/>
    </row>
    <row r="359" spans="2:23" ht="18.75" customHeight="1" thickBot="1">
      <c r="B359" s="42"/>
      <c r="C359" s="42"/>
      <c r="D359" s="42"/>
      <c r="E359" s="42"/>
      <c r="F359" s="42"/>
      <c r="G359" s="42"/>
      <c r="H359" s="42"/>
      <c r="I359" s="42"/>
      <c r="J359" s="42"/>
      <c r="K359" s="42"/>
      <c r="L359" s="42"/>
      <c r="M359" s="42"/>
      <c r="N359" s="42"/>
      <c r="O359" s="42"/>
      <c r="P359" s="42"/>
      <c r="Q359" s="42"/>
      <c r="R359" s="42"/>
      <c r="S359" s="42"/>
      <c r="T359" s="42"/>
      <c r="U359" s="42"/>
    </row>
    <row r="361" spans="2:23" ht="18.75" customHeight="1">
      <c r="B361" s="43" t="s">
        <v>163</v>
      </c>
      <c r="C361" s="51" t="s">
        <v>3593</v>
      </c>
      <c r="D361" s="90"/>
      <c r="W361" s="35" t="str">
        <f>"-- "&amp;B361&amp;" : "&amp;C361</f>
        <v>-- SQL_ID : 01_A3-23</v>
      </c>
    </row>
    <row r="362" spans="2:23" ht="18.75" customHeight="1">
      <c r="B362" s="43" t="s">
        <v>158</v>
      </c>
      <c r="C362" s="102" t="str">
        <f>R365&amp;"登録"</f>
        <v>バックアップ_薬価マスタ登録</v>
      </c>
      <c r="D362" s="103"/>
      <c r="E362" s="103"/>
      <c r="F362" s="103"/>
      <c r="G362" s="103"/>
      <c r="H362" s="103"/>
      <c r="I362" s="103"/>
      <c r="J362" s="103"/>
      <c r="K362" s="103"/>
      <c r="L362" s="103"/>
      <c r="M362" s="103"/>
      <c r="N362" s="103"/>
      <c r="O362" s="103"/>
      <c r="P362" s="103"/>
      <c r="Q362" s="103"/>
      <c r="R362" s="103"/>
      <c r="S362" s="103"/>
      <c r="T362" s="103"/>
      <c r="U362" s="104"/>
      <c r="W362" s="35" t="str">
        <f>"-- "&amp;C362</f>
        <v>-- バックアップ_薬価マスタ登録</v>
      </c>
    </row>
    <row r="363" spans="2:23" ht="18.75" customHeight="1">
      <c r="B363" s="43" t="s">
        <v>159</v>
      </c>
      <c r="C363" s="105" t="str">
        <f>C365&amp;"テーブルのレコードを"&amp;R365&amp;"テーブルに格納する。"</f>
        <v>薬価マスタテーブルのレコードをバックアップ_薬価マスタテーブルに格納する。</v>
      </c>
      <c r="D363" s="106"/>
      <c r="E363" s="106"/>
      <c r="F363" s="106"/>
      <c r="G363" s="106"/>
      <c r="H363" s="106"/>
      <c r="I363" s="106"/>
      <c r="J363" s="106"/>
      <c r="K363" s="106"/>
      <c r="L363" s="106"/>
      <c r="M363" s="106"/>
      <c r="N363" s="106"/>
      <c r="O363" s="106"/>
      <c r="P363" s="106"/>
      <c r="Q363" s="106"/>
      <c r="R363" s="106"/>
      <c r="S363" s="106"/>
      <c r="T363" s="106"/>
      <c r="U363" s="107"/>
      <c r="W363" s="35" t="str">
        <f>"-- "&amp;C363</f>
        <v>-- 薬価マスタテーブルのレコードをバックアップ_薬価マスタテーブルに格納する。</v>
      </c>
    </row>
    <row r="365" spans="2:23" ht="18.75" customHeight="1">
      <c r="C365" s="96" t="s">
        <v>3594</v>
      </c>
      <c r="D365" s="97"/>
      <c r="E365" s="108" t="s">
        <v>162</v>
      </c>
      <c r="F365" s="36"/>
      <c r="G365" s="36"/>
      <c r="H365" s="36"/>
      <c r="I365" s="36"/>
      <c r="J365" s="36"/>
      <c r="K365" s="36"/>
      <c r="L365" s="36"/>
      <c r="M365" s="36"/>
      <c r="N365" s="36"/>
      <c r="O365" s="36"/>
      <c r="P365" s="36"/>
      <c r="Q365" s="36"/>
      <c r="R365" s="96" t="str">
        <f>"バックアップ_"&amp;SUBSTITUTE(C365,"_結合","")</f>
        <v>バックアップ_薬価マスタ</v>
      </c>
      <c r="S365" s="97"/>
      <c r="T365" s="100" t="str">
        <f>エンティティ一覧!$O$2</f>
        <v>milscm_2023_010</v>
      </c>
    </row>
    <row r="366" spans="2:23" ht="18.75" customHeight="1">
      <c r="C366" s="98"/>
      <c r="D366" s="99"/>
      <c r="E366" s="109"/>
      <c r="F366" s="37"/>
      <c r="G366" s="37"/>
      <c r="H366" s="37"/>
      <c r="I366" s="37"/>
      <c r="J366" s="37"/>
      <c r="K366" s="37"/>
      <c r="L366" s="37"/>
      <c r="M366" s="37"/>
      <c r="N366" s="37"/>
      <c r="O366" s="37"/>
      <c r="P366" s="37"/>
      <c r="Q366" s="37"/>
      <c r="R366" s="98"/>
      <c r="S366" s="99"/>
      <c r="T366" s="101"/>
    </row>
    <row r="368" spans="2:23" ht="18.75" customHeight="1" thickBot="1">
      <c r="B368" s="42"/>
      <c r="C368" s="42"/>
      <c r="D368" s="42"/>
      <c r="E368" s="42"/>
      <c r="F368" s="42"/>
      <c r="G368" s="42"/>
      <c r="H368" s="42"/>
      <c r="I368" s="42"/>
      <c r="J368" s="42"/>
      <c r="K368" s="42"/>
      <c r="L368" s="42"/>
      <c r="M368" s="42"/>
      <c r="N368" s="42"/>
      <c r="O368" s="42"/>
      <c r="P368" s="42"/>
      <c r="Q368" s="42"/>
      <c r="R368" s="42"/>
      <c r="S368" s="42"/>
      <c r="T368" s="42"/>
      <c r="U368" s="42"/>
    </row>
    <row r="370" spans="2:23" ht="18.75" customHeight="1">
      <c r="B370" s="43" t="s">
        <v>163</v>
      </c>
      <c r="C370" s="51" t="s">
        <v>3595</v>
      </c>
      <c r="D370" s="90"/>
      <c r="W370" s="35" t="str">
        <f>"-- "&amp;B370&amp;" : "&amp;C370</f>
        <v>-- SQL_ID : 01_A3-24</v>
      </c>
    </row>
    <row r="371" spans="2:23" ht="18.75" customHeight="1">
      <c r="B371" s="43" t="s">
        <v>158</v>
      </c>
      <c r="C371" s="102" t="str">
        <f>R374&amp;"登録"</f>
        <v>バックアップ_薬効ATC分類1マスタ登録</v>
      </c>
      <c r="D371" s="103"/>
      <c r="E371" s="103"/>
      <c r="F371" s="103"/>
      <c r="G371" s="103"/>
      <c r="H371" s="103"/>
      <c r="I371" s="103"/>
      <c r="J371" s="103"/>
      <c r="K371" s="103"/>
      <c r="L371" s="103"/>
      <c r="M371" s="103"/>
      <c r="N371" s="103"/>
      <c r="O371" s="103"/>
      <c r="P371" s="103"/>
      <c r="Q371" s="103"/>
      <c r="R371" s="103"/>
      <c r="S371" s="103"/>
      <c r="T371" s="103"/>
      <c r="U371" s="104"/>
      <c r="W371" s="35" t="str">
        <f>"-- "&amp;C371</f>
        <v>-- バックアップ_薬効ATC分類1マスタ登録</v>
      </c>
    </row>
    <row r="372" spans="2:23" ht="18.75" customHeight="1">
      <c r="B372" s="43" t="s">
        <v>159</v>
      </c>
      <c r="C372" s="105" t="str">
        <f>C374&amp;"テーブルのレコードを"&amp;R374&amp;"テーブルに格納する。"</f>
        <v>薬効ATC分類1マスタテーブルのレコードをバックアップ_薬効ATC分類1マスタテーブルに格納する。</v>
      </c>
      <c r="D372" s="106"/>
      <c r="E372" s="106"/>
      <c r="F372" s="106"/>
      <c r="G372" s="106"/>
      <c r="H372" s="106"/>
      <c r="I372" s="106"/>
      <c r="J372" s="106"/>
      <c r="K372" s="106"/>
      <c r="L372" s="106"/>
      <c r="M372" s="106"/>
      <c r="N372" s="106"/>
      <c r="O372" s="106"/>
      <c r="P372" s="106"/>
      <c r="Q372" s="106"/>
      <c r="R372" s="106"/>
      <c r="S372" s="106"/>
      <c r="T372" s="106"/>
      <c r="U372" s="107"/>
      <c r="W372" s="35" t="str">
        <f>"-- "&amp;C372</f>
        <v>-- 薬効ATC分類1マスタテーブルのレコードをバックアップ_薬効ATC分類1マスタテーブルに格納する。</v>
      </c>
    </row>
    <row r="374" spans="2:23" ht="18.75" customHeight="1">
      <c r="C374" s="96" t="s">
        <v>3596</v>
      </c>
      <c r="D374" s="97"/>
      <c r="E374" s="108" t="s">
        <v>162</v>
      </c>
      <c r="F374" s="36"/>
      <c r="G374" s="36"/>
      <c r="H374" s="36"/>
      <c r="I374" s="36"/>
      <c r="J374" s="36"/>
      <c r="K374" s="36"/>
      <c r="L374" s="36"/>
      <c r="M374" s="36"/>
      <c r="N374" s="36"/>
      <c r="O374" s="36"/>
      <c r="P374" s="36"/>
      <c r="Q374" s="36"/>
      <c r="R374" s="96" t="str">
        <f>"バックアップ_"&amp;SUBSTITUTE(C374,"_結合","")</f>
        <v>バックアップ_薬効ATC分類1マスタ</v>
      </c>
      <c r="S374" s="97"/>
      <c r="T374" s="100" t="str">
        <f>エンティティ一覧!$O$2</f>
        <v>milscm_2023_010</v>
      </c>
    </row>
    <row r="375" spans="2:23" ht="18.75" customHeight="1">
      <c r="C375" s="98"/>
      <c r="D375" s="99"/>
      <c r="E375" s="109"/>
      <c r="F375" s="37"/>
      <c r="G375" s="37"/>
      <c r="H375" s="37"/>
      <c r="I375" s="37"/>
      <c r="J375" s="37"/>
      <c r="K375" s="37"/>
      <c r="L375" s="37"/>
      <c r="M375" s="37"/>
      <c r="N375" s="37"/>
      <c r="O375" s="37"/>
      <c r="P375" s="37"/>
      <c r="Q375" s="37"/>
      <c r="R375" s="98"/>
      <c r="S375" s="99"/>
      <c r="T375" s="101"/>
    </row>
    <row r="377" spans="2:23" ht="18.75" customHeight="1" thickBot="1">
      <c r="B377" s="42"/>
      <c r="C377" s="42"/>
      <c r="D377" s="42"/>
      <c r="E377" s="42"/>
      <c r="F377" s="42"/>
      <c r="G377" s="42"/>
      <c r="H377" s="42"/>
      <c r="I377" s="42"/>
      <c r="J377" s="42"/>
      <c r="K377" s="42"/>
      <c r="L377" s="42"/>
      <c r="M377" s="42"/>
      <c r="N377" s="42"/>
      <c r="O377" s="42"/>
      <c r="P377" s="42"/>
      <c r="Q377" s="42"/>
      <c r="R377" s="42"/>
      <c r="S377" s="42"/>
      <c r="T377" s="42"/>
      <c r="U377" s="42"/>
    </row>
    <row r="379" spans="2:23" ht="18.75" customHeight="1">
      <c r="B379" s="43" t="s">
        <v>163</v>
      </c>
      <c r="C379" s="51" t="s">
        <v>3597</v>
      </c>
      <c r="D379" s="90"/>
      <c r="W379" s="35" t="str">
        <f>"-- "&amp;B379&amp;" : "&amp;C379</f>
        <v>-- SQL_ID : 01_A3-25</v>
      </c>
    </row>
    <row r="380" spans="2:23" ht="18.75" customHeight="1">
      <c r="B380" s="43" t="s">
        <v>158</v>
      </c>
      <c r="C380" s="102" t="str">
        <f>R383&amp;"登録"</f>
        <v>バックアップ_薬効ATC分類2マスタ登録</v>
      </c>
      <c r="D380" s="103"/>
      <c r="E380" s="103"/>
      <c r="F380" s="103"/>
      <c r="G380" s="103"/>
      <c r="H380" s="103"/>
      <c r="I380" s="103"/>
      <c r="J380" s="103"/>
      <c r="K380" s="103"/>
      <c r="L380" s="103"/>
      <c r="M380" s="103"/>
      <c r="N380" s="103"/>
      <c r="O380" s="103"/>
      <c r="P380" s="103"/>
      <c r="Q380" s="103"/>
      <c r="R380" s="103"/>
      <c r="S380" s="103"/>
      <c r="T380" s="103"/>
      <c r="U380" s="104"/>
      <c r="W380" s="35" t="str">
        <f>"-- "&amp;C380</f>
        <v>-- バックアップ_薬効ATC分類2マスタ登録</v>
      </c>
    </row>
    <row r="381" spans="2:23" ht="18.75" customHeight="1">
      <c r="B381" s="43" t="s">
        <v>159</v>
      </c>
      <c r="C381" s="105" t="str">
        <f>C383&amp;"テーブルのレコードを"&amp;R383&amp;"テーブルに格納する。"</f>
        <v>薬効ATC分類2マスタテーブルのレコードをバックアップ_薬効ATC分類2マスタテーブルに格納する。</v>
      </c>
      <c r="D381" s="106"/>
      <c r="E381" s="106"/>
      <c r="F381" s="106"/>
      <c r="G381" s="106"/>
      <c r="H381" s="106"/>
      <c r="I381" s="106"/>
      <c r="J381" s="106"/>
      <c r="K381" s="106"/>
      <c r="L381" s="106"/>
      <c r="M381" s="106"/>
      <c r="N381" s="106"/>
      <c r="O381" s="106"/>
      <c r="P381" s="106"/>
      <c r="Q381" s="106"/>
      <c r="R381" s="106"/>
      <c r="S381" s="106"/>
      <c r="T381" s="106"/>
      <c r="U381" s="107"/>
      <c r="W381" s="35" t="str">
        <f>"-- "&amp;C381</f>
        <v>-- 薬効ATC分類2マスタテーブルのレコードをバックアップ_薬効ATC分類2マスタテーブルに格納する。</v>
      </c>
    </row>
    <row r="383" spans="2:23" ht="18.75" customHeight="1">
      <c r="C383" s="96" t="s">
        <v>3598</v>
      </c>
      <c r="D383" s="97"/>
      <c r="E383" s="108" t="s">
        <v>162</v>
      </c>
      <c r="F383" s="36"/>
      <c r="G383" s="36"/>
      <c r="H383" s="36"/>
      <c r="I383" s="36"/>
      <c r="J383" s="36"/>
      <c r="K383" s="36"/>
      <c r="L383" s="36"/>
      <c r="M383" s="36"/>
      <c r="N383" s="36"/>
      <c r="O383" s="36"/>
      <c r="P383" s="36"/>
      <c r="Q383" s="36"/>
      <c r="R383" s="96" t="str">
        <f>"バックアップ_"&amp;SUBSTITUTE(C383,"_結合","")</f>
        <v>バックアップ_薬効ATC分類2マスタ</v>
      </c>
      <c r="S383" s="97"/>
      <c r="T383" s="100" t="str">
        <f>エンティティ一覧!$O$2</f>
        <v>milscm_2023_010</v>
      </c>
    </row>
    <row r="384" spans="2:23" ht="18.75" customHeight="1">
      <c r="C384" s="98"/>
      <c r="D384" s="99"/>
      <c r="E384" s="109"/>
      <c r="F384" s="37"/>
      <c r="G384" s="37"/>
      <c r="H384" s="37"/>
      <c r="I384" s="37"/>
      <c r="J384" s="37"/>
      <c r="K384" s="37"/>
      <c r="L384" s="37"/>
      <c r="M384" s="37"/>
      <c r="N384" s="37"/>
      <c r="O384" s="37"/>
      <c r="P384" s="37"/>
      <c r="Q384" s="37"/>
      <c r="R384" s="98"/>
      <c r="S384" s="99"/>
      <c r="T384" s="101"/>
    </row>
    <row r="386" spans="2:23" ht="18.75" customHeight="1" thickBot="1">
      <c r="B386" s="42"/>
      <c r="C386" s="42"/>
      <c r="D386" s="42"/>
      <c r="E386" s="42"/>
      <c r="F386" s="42"/>
      <c r="G386" s="42"/>
      <c r="H386" s="42"/>
      <c r="I386" s="42"/>
      <c r="J386" s="42"/>
      <c r="K386" s="42"/>
      <c r="L386" s="42"/>
      <c r="M386" s="42"/>
      <c r="N386" s="42"/>
      <c r="O386" s="42"/>
      <c r="P386" s="42"/>
      <c r="Q386" s="42"/>
      <c r="R386" s="42"/>
      <c r="S386" s="42"/>
      <c r="T386" s="42"/>
      <c r="U386" s="42"/>
    </row>
    <row r="388" spans="2:23" ht="18.75" customHeight="1">
      <c r="B388" s="43" t="s">
        <v>163</v>
      </c>
      <c r="C388" s="51" t="s">
        <v>3599</v>
      </c>
      <c r="D388" s="90"/>
      <c r="W388" s="35" t="str">
        <f>"-- "&amp;B388&amp;" : "&amp;C388</f>
        <v>-- SQL_ID : 01_A3-26</v>
      </c>
    </row>
    <row r="389" spans="2:23" ht="18.75" customHeight="1">
      <c r="B389" s="43" t="s">
        <v>158</v>
      </c>
      <c r="C389" s="102" t="str">
        <f>R392&amp;"登録"</f>
        <v>バックアップ_薬効ATC分類3マスタ登録</v>
      </c>
      <c r="D389" s="103"/>
      <c r="E389" s="103"/>
      <c r="F389" s="103"/>
      <c r="G389" s="103"/>
      <c r="H389" s="103"/>
      <c r="I389" s="103"/>
      <c r="J389" s="103"/>
      <c r="K389" s="103"/>
      <c r="L389" s="103"/>
      <c r="M389" s="103"/>
      <c r="N389" s="103"/>
      <c r="O389" s="103"/>
      <c r="P389" s="103"/>
      <c r="Q389" s="103"/>
      <c r="R389" s="103"/>
      <c r="S389" s="103"/>
      <c r="T389" s="103"/>
      <c r="U389" s="104"/>
      <c r="W389" s="35" t="str">
        <f>"-- "&amp;C389</f>
        <v>-- バックアップ_薬効ATC分類3マスタ登録</v>
      </c>
    </row>
    <row r="390" spans="2:23" ht="18.75" customHeight="1">
      <c r="B390" s="43" t="s">
        <v>159</v>
      </c>
      <c r="C390" s="105" t="str">
        <f>C392&amp;"テーブルのレコードを"&amp;R392&amp;"テーブルに格納する。"</f>
        <v>薬効ATC分類3マスタテーブルのレコードをバックアップ_薬効ATC分類3マスタテーブルに格納する。</v>
      </c>
      <c r="D390" s="106"/>
      <c r="E390" s="106"/>
      <c r="F390" s="106"/>
      <c r="G390" s="106"/>
      <c r="H390" s="106"/>
      <c r="I390" s="106"/>
      <c r="J390" s="106"/>
      <c r="K390" s="106"/>
      <c r="L390" s="106"/>
      <c r="M390" s="106"/>
      <c r="N390" s="106"/>
      <c r="O390" s="106"/>
      <c r="P390" s="106"/>
      <c r="Q390" s="106"/>
      <c r="R390" s="106"/>
      <c r="S390" s="106"/>
      <c r="T390" s="106"/>
      <c r="U390" s="107"/>
      <c r="W390" s="35" t="str">
        <f>"-- "&amp;C390</f>
        <v>-- 薬効ATC分類3マスタテーブルのレコードをバックアップ_薬効ATC分類3マスタテーブルに格納する。</v>
      </c>
    </row>
    <row r="392" spans="2:23" ht="18.75" customHeight="1">
      <c r="C392" s="96" t="s">
        <v>3600</v>
      </c>
      <c r="D392" s="97"/>
      <c r="E392" s="108" t="s">
        <v>162</v>
      </c>
      <c r="F392" s="36"/>
      <c r="G392" s="36"/>
      <c r="H392" s="36"/>
      <c r="I392" s="36"/>
      <c r="J392" s="36"/>
      <c r="K392" s="36"/>
      <c r="L392" s="36"/>
      <c r="M392" s="36"/>
      <c r="N392" s="36"/>
      <c r="O392" s="36"/>
      <c r="P392" s="36"/>
      <c r="Q392" s="36"/>
      <c r="R392" s="96" t="str">
        <f>"バックアップ_"&amp;SUBSTITUTE(C392,"_結合","")</f>
        <v>バックアップ_薬効ATC分類3マスタ</v>
      </c>
      <c r="S392" s="97"/>
      <c r="T392" s="100" t="str">
        <f>エンティティ一覧!$O$2</f>
        <v>milscm_2023_010</v>
      </c>
    </row>
    <row r="393" spans="2:23" ht="18.75" customHeight="1">
      <c r="C393" s="98"/>
      <c r="D393" s="99"/>
      <c r="E393" s="109"/>
      <c r="F393" s="37"/>
      <c r="G393" s="37"/>
      <c r="H393" s="37"/>
      <c r="I393" s="37"/>
      <c r="J393" s="37"/>
      <c r="K393" s="37"/>
      <c r="L393" s="37"/>
      <c r="M393" s="37"/>
      <c r="N393" s="37"/>
      <c r="O393" s="37"/>
      <c r="P393" s="37"/>
      <c r="Q393" s="37"/>
      <c r="R393" s="98"/>
      <c r="S393" s="99"/>
      <c r="T393" s="101"/>
    </row>
    <row r="395" spans="2:23" ht="18.75" customHeight="1" thickBot="1">
      <c r="B395" s="42"/>
      <c r="C395" s="42"/>
      <c r="D395" s="42"/>
      <c r="E395" s="42"/>
      <c r="F395" s="42"/>
      <c r="G395" s="42"/>
      <c r="H395" s="42"/>
      <c r="I395" s="42"/>
      <c r="J395" s="42"/>
      <c r="K395" s="42"/>
      <c r="L395" s="42"/>
      <c r="M395" s="42"/>
      <c r="N395" s="42"/>
      <c r="O395" s="42"/>
      <c r="P395" s="42"/>
      <c r="Q395" s="42"/>
      <c r="R395" s="42"/>
      <c r="S395" s="42"/>
      <c r="T395" s="42"/>
      <c r="U395" s="42"/>
    </row>
    <row r="397" spans="2:23" ht="18.75" customHeight="1">
      <c r="B397" s="43" t="s">
        <v>163</v>
      </c>
      <c r="C397" s="51" t="s">
        <v>3601</v>
      </c>
      <c r="D397" s="90"/>
      <c r="W397" s="35" t="str">
        <f>"-- "&amp;B397&amp;" : "&amp;C397</f>
        <v>-- SQL_ID : 01_A3-27</v>
      </c>
    </row>
    <row r="398" spans="2:23" ht="18.75" customHeight="1">
      <c r="B398" s="43" t="s">
        <v>158</v>
      </c>
      <c r="C398" s="102" t="str">
        <f>R401&amp;"登録"</f>
        <v>バックアップ_薬効ATC分類4マスタ登録</v>
      </c>
      <c r="D398" s="103"/>
      <c r="E398" s="103"/>
      <c r="F398" s="103"/>
      <c r="G398" s="103"/>
      <c r="H398" s="103"/>
      <c r="I398" s="103"/>
      <c r="J398" s="103"/>
      <c r="K398" s="103"/>
      <c r="L398" s="103"/>
      <c r="M398" s="103"/>
      <c r="N398" s="103"/>
      <c r="O398" s="103"/>
      <c r="P398" s="103"/>
      <c r="Q398" s="103"/>
      <c r="R398" s="103"/>
      <c r="S398" s="103"/>
      <c r="T398" s="103"/>
      <c r="U398" s="104"/>
      <c r="W398" s="35" t="str">
        <f>"-- "&amp;C398</f>
        <v>-- バックアップ_薬効ATC分類4マスタ登録</v>
      </c>
    </row>
    <row r="399" spans="2:23" ht="18.75" customHeight="1">
      <c r="B399" s="43" t="s">
        <v>159</v>
      </c>
      <c r="C399" s="105" t="str">
        <f>C401&amp;"テーブルのレコードを"&amp;R401&amp;"テーブルに格納する。"</f>
        <v>薬効ATC分類4マスタテーブルのレコードをバックアップ_薬効ATC分類4マスタテーブルに格納する。</v>
      </c>
      <c r="D399" s="106"/>
      <c r="E399" s="106"/>
      <c r="F399" s="106"/>
      <c r="G399" s="106"/>
      <c r="H399" s="106"/>
      <c r="I399" s="106"/>
      <c r="J399" s="106"/>
      <c r="K399" s="106"/>
      <c r="L399" s="106"/>
      <c r="M399" s="106"/>
      <c r="N399" s="106"/>
      <c r="O399" s="106"/>
      <c r="P399" s="106"/>
      <c r="Q399" s="106"/>
      <c r="R399" s="106"/>
      <c r="S399" s="106"/>
      <c r="T399" s="106"/>
      <c r="U399" s="107"/>
      <c r="W399" s="35" t="str">
        <f>"-- "&amp;C399</f>
        <v>-- 薬効ATC分類4マスタテーブルのレコードをバックアップ_薬効ATC分類4マスタテーブルに格納する。</v>
      </c>
    </row>
    <row r="401" spans="2:23" ht="18.75" customHeight="1">
      <c r="C401" s="96" t="s">
        <v>3602</v>
      </c>
      <c r="D401" s="97"/>
      <c r="E401" s="108" t="s">
        <v>162</v>
      </c>
      <c r="F401" s="36"/>
      <c r="G401" s="36"/>
      <c r="H401" s="36"/>
      <c r="I401" s="36"/>
      <c r="J401" s="36"/>
      <c r="K401" s="36"/>
      <c r="L401" s="36"/>
      <c r="M401" s="36"/>
      <c r="N401" s="36"/>
      <c r="O401" s="36"/>
      <c r="P401" s="36"/>
      <c r="Q401" s="36"/>
      <c r="R401" s="96" t="str">
        <f>"バックアップ_"&amp;SUBSTITUTE(C401,"_結合","")</f>
        <v>バックアップ_薬効ATC分類4マスタ</v>
      </c>
      <c r="S401" s="97"/>
      <c r="T401" s="100" t="str">
        <f>エンティティ一覧!$O$2</f>
        <v>milscm_2023_010</v>
      </c>
    </row>
    <row r="402" spans="2:23" ht="18.75" customHeight="1">
      <c r="C402" s="98"/>
      <c r="D402" s="99"/>
      <c r="E402" s="109"/>
      <c r="F402" s="37"/>
      <c r="G402" s="37"/>
      <c r="H402" s="37"/>
      <c r="I402" s="37"/>
      <c r="J402" s="37"/>
      <c r="K402" s="37"/>
      <c r="L402" s="37"/>
      <c r="M402" s="37"/>
      <c r="N402" s="37"/>
      <c r="O402" s="37"/>
      <c r="P402" s="37"/>
      <c r="Q402" s="37"/>
      <c r="R402" s="98"/>
      <c r="S402" s="99"/>
      <c r="T402" s="101"/>
    </row>
    <row r="404" spans="2:23" ht="18.75" customHeight="1" thickBot="1">
      <c r="B404" s="42"/>
      <c r="C404" s="42"/>
      <c r="D404" s="42"/>
      <c r="E404" s="42"/>
      <c r="F404" s="42"/>
      <c r="G404" s="42"/>
      <c r="H404" s="42"/>
      <c r="I404" s="42"/>
      <c r="J404" s="42"/>
      <c r="K404" s="42"/>
      <c r="L404" s="42"/>
      <c r="M404" s="42"/>
      <c r="N404" s="42"/>
      <c r="O404" s="42"/>
      <c r="P404" s="42"/>
      <c r="Q404" s="42"/>
      <c r="R404" s="42"/>
      <c r="S404" s="42"/>
      <c r="T404" s="42"/>
      <c r="U404" s="42"/>
    </row>
    <row r="406" spans="2:23" ht="18.75" customHeight="1">
      <c r="B406" s="43" t="s">
        <v>163</v>
      </c>
      <c r="C406" s="51" t="s">
        <v>3603</v>
      </c>
      <c r="D406" s="90"/>
      <c r="W406" s="35" t="str">
        <f>"-- "&amp;B406&amp;" : "&amp;C406</f>
        <v>-- SQL_ID : 01_A3-28</v>
      </c>
    </row>
    <row r="407" spans="2:23" ht="18.75" customHeight="1">
      <c r="B407" s="43" t="s">
        <v>158</v>
      </c>
      <c r="C407" s="102" t="str">
        <f>R410&amp;"登録"</f>
        <v>バックアップ_薬効ATC分類5マスタ登録</v>
      </c>
      <c r="D407" s="103"/>
      <c r="E407" s="103"/>
      <c r="F407" s="103"/>
      <c r="G407" s="103"/>
      <c r="H407" s="103"/>
      <c r="I407" s="103"/>
      <c r="J407" s="103"/>
      <c r="K407" s="103"/>
      <c r="L407" s="103"/>
      <c r="M407" s="103"/>
      <c r="N407" s="103"/>
      <c r="O407" s="103"/>
      <c r="P407" s="103"/>
      <c r="Q407" s="103"/>
      <c r="R407" s="103"/>
      <c r="S407" s="103"/>
      <c r="T407" s="103"/>
      <c r="U407" s="104"/>
      <c r="W407" s="35" t="str">
        <f>"-- "&amp;C407</f>
        <v>-- バックアップ_薬効ATC分類5マスタ登録</v>
      </c>
    </row>
    <row r="408" spans="2:23" ht="18.75" customHeight="1">
      <c r="B408" s="43" t="s">
        <v>159</v>
      </c>
      <c r="C408" s="105" t="str">
        <f>C410&amp;"テーブルのレコードを"&amp;R410&amp;"テーブルに格納する。"</f>
        <v>薬効ATC分類5マスタテーブルのレコードをバックアップ_薬効ATC分類5マスタテーブルに格納する。</v>
      </c>
      <c r="D408" s="106"/>
      <c r="E408" s="106"/>
      <c r="F408" s="106"/>
      <c r="G408" s="106"/>
      <c r="H408" s="106"/>
      <c r="I408" s="106"/>
      <c r="J408" s="106"/>
      <c r="K408" s="106"/>
      <c r="L408" s="106"/>
      <c r="M408" s="106"/>
      <c r="N408" s="106"/>
      <c r="O408" s="106"/>
      <c r="P408" s="106"/>
      <c r="Q408" s="106"/>
      <c r="R408" s="106"/>
      <c r="S408" s="106"/>
      <c r="T408" s="106"/>
      <c r="U408" s="107"/>
      <c r="W408" s="35" t="str">
        <f>"-- "&amp;C408</f>
        <v>-- 薬効ATC分類5マスタテーブルのレコードをバックアップ_薬効ATC分類5マスタテーブルに格納する。</v>
      </c>
    </row>
    <row r="410" spans="2:23" ht="18.75" customHeight="1">
      <c r="C410" s="96" t="s">
        <v>3604</v>
      </c>
      <c r="D410" s="97"/>
      <c r="E410" s="108" t="s">
        <v>162</v>
      </c>
      <c r="F410" s="36"/>
      <c r="G410" s="36"/>
      <c r="H410" s="36"/>
      <c r="I410" s="36"/>
      <c r="J410" s="36"/>
      <c r="K410" s="36"/>
      <c r="L410" s="36"/>
      <c r="M410" s="36"/>
      <c r="N410" s="36"/>
      <c r="O410" s="36"/>
      <c r="P410" s="36"/>
      <c r="Q410" s="36"/>
      <c r="R410" s="96" t="str">
        <f>"バックアップ_"&amp;SUBSTITUTE(C410,"_結合","")</f>
        <v>バックアップ_薬効ATC分類5マスタ</v>
      </c>
      <c r="S410" s="97"/>
      <c r="T410" s="100" t="str">
        <f>エンティティ一覧!$O$2</f>
        <v>milscm_2023_010</v>
      </c>
    </row>
    <row r="411" spans="2:23" ht="18.75" customHeight="1">
      <c r="C411" s="98"/>
      <c r="D411" s="99"/>
      <c r="E411" s="109"/>
      <c r="F411" s="37"/>
      <c r="G411" s="37"/>
      <c r="H411" s="37"/>
      <c r="I411" s="37"/>
      <c r="J411" s="37"/>
      <c r="K411" s="37"/>
      <c r="L411" s="37"/>
      <c r="M411" s="37"/>
      <c r="N411" s="37"/>
      <c r="O411" s="37"/>
      <c r="P411" s="37"/>
      <c r="Q411" s="37"/>
      <c r="R411" s="98"/>
      <c r="S411" s="99"/>
      <c r="T411" s="101"/>
    </row>
    <row r="413" spans="2:23" ht="18.75" customHeight="1" thickBot="1">
      <c r="B413" s="42"/>
      <c r="C413" s="42"/>
      <c r="D413" s="42"/>
      <c r="E413" s="42"/>
      <c r="F413" s="42"/>
      <c r="G413" s="42"/>
      <c r="H413" s="42"/>
      <c r="I413" s="42"/>
      <c r="J413" s="42"/>
      <c r="K413" s="42"/>
      <c r="L413" s="42"/>
      <c r="M413" s="42"/>
      <c r="N413" s="42"/>
      <c r="O413" s="42"/>
      <c r="P413" s="42"/>
      <c r="Q413" s="42"/>
      <c r="R413" s="42"/>
      <c r="S413" s="42"/>
      <c r="T413" s="42"/>
      <c r="U413" s="42"/>
    </row>
    <row r="415" spans="2:23" ht="18.75" customHeight="1">
      <c r="B415" s="43" t="s">
        <v>163</v>
      </c>
      <c r="C415" s="51" t="s">
        <v>3605</v>
      </c>
      <c r="D415" s="90"/>
      <c r="W415" s="35" t="str">
        <f>"-- "&amp;B415&amp;" : "&amp;C415</f>
        <v>-- SQL_ID : 01_A3-29</v>
      </c>
    </row>
    <row r="416" spans="2:23" ht="18.75" customHeight="1">
      <c r="B416" s="43" t="s">
        <v>158</v>
      </c>
      <c r="C416" s="102" t="str">
        <f>R419&amp;"登録"</f>
        <v>バックアップ_疾病マスタ登録</v>
      </c>
      <c r="D416" s="103"/>
      <c r="E416" s="103"/>
      <c r="F416" s="103"/>
      <c r="G416" s="103"/>
      <c r="H416" s="103"/>
      <c r="I416" s="103"/>
      <c r="J416" s="103"/>
      <c r="K416" s="103"/>
      <c r="L416" s="103"/>
      <c r="M416" s="103"/>
      <c r="N416" s="103"/>
      <c r="O416" s="103"/>
      <c r="P416" s="103"/>
      <c r="Q416" s="103"/>
      <c r="R416" s="103"/>
      <c r="S416" s="103"/>
      <c r="T416" s="103"/>
      <c r="U416" s="104"/>
      <c r="W416" s="35" t="str">
        <f>"-- "&amp;C416</f>
        <v>-- バックアップ_疾病マスタ登録</v>
      </c>
    </row>
    <row r="417" spans="2:23" ht="18.75" customHeight="1">
      <c r="B417" s="43" t="s">
        <v>159</v>
      </c>
      <c r="C417" s="105" t="str">
        <f>C419&amp;"テーブルのレコードを"&amp;R419&amp;"テーブルに格納する。"</f>
        <v>疾病マスタテーブルのレコードをバックアップ_疾病マスタテーブルに格納する。</v>
      </c>
      <c r="D417" s="106"/>
      <c r="E417" s="106"/>
      <c r="F417" s="106"/>
      <c r="G417" s="106"/>
      <c r="H417" s="106"/>
      <c r="I417" s="106"/>
      <c r="J417" s="106"/>
      <c r="K417" s="106"/>
      <c r="L417" s="106"/>
      <c r="M417" s="106"/>
      <c r="N417" s="106"/>
      <c r="O417" s="106"/>
      <c r="P417" s="106"/>
      <c r="Q417" s="106"/>
      <c r="R417" s="106"/>
      <c r="S417" s="106"/>
      <c r="T417" s="106"/>
      <c r="U417" s="107"/>
      <c r="W417" s="35" t="str">
        <f>"-- "&amp;C417</f>
        <v>-- 疾病マスタテーブルのレコードをバックアップ_疾病マスタテーブルに格納する。</v>
      </c>
    </row>
    <row r="419" spans="2:23" ht="18.75" customHeight="1">
      <c r="C419" s="96" t="s">
        <v>3606</v>
      </c>
      <c r="D419" s="97"/>
      <c r="E419" s="108" t="s">
        <v>162</v>
      </c>
      <c r="F419" s="36"/>
      <c r="G419" s="36"/>
      <c r="H419" s="36"/>
      <c r="I419" s="36"/>
      <c r="J419" s="36"/>
      <c r="K419" s="36"/>
      <c r="L419" s="36"/>
      <c r="M419" s="36"/>
      <c r="N419" s="36"/>
      <c r="O419" s="36"/>
      <c r="P419" s="36"/>
      <c r="Q419" s="36"/>
      <c r="R419" s="96" t="str">
        <f>"バックアップ_"&amp;SUBSTITUTE(C419,"_結合","")</f>
        <v>バックアップ_疾病マスタ</v>
      </c>
      <c r="S419" s="97"/>
      <c r="T419" s="100" t="str">
        <f>エンティティ一覧!$O$2</f>
        <v>milscm_2023_010</v>
      </c>
    </row>
    <row r="420" spans="2:23" ht="18.75" customHeight="1">
      <c r="C420" s="98"/>
      <c r="D420" s="99"/>
      <c r="E420" s="109"/>
      <c r="F420" s="37"/>
      <c r="G420" s="37"/>
      <c r="H420" s="37"/>
      <c r="I420" s="37"/>
      <c r="J420" s="37"/>
      <c r="K420" s="37"/>
      <c r="L420" s="37"/>
      <c r="M420" s="37"/>
      <c r="N420" s="37"/>
      <c r="O420" s="37"/>
      <c r="P420" s="37"/>
      <c r="Q420" s="37"/>
      <c r="R420" s="98"/>
      <c r="S420" s="99"/>
      <c r="T420" s="101"/>
    </row>
    <row r="422" spans="2:23" ht="18.75" customHeight="1" thickBot="1">
      <c r="B422" s="42"/>
      <c r="C422" s="42"/>
      <c r="D422" s="42"/>
      <c r="E422" s="42"/>
      <c r="F422" s="42"/>
      <c r="G422" s="42"/>
      <c r="H422" s="42"/>
      <c r="I422" s="42"/>
      <c r="J422" s="42"/>
      <c r="K422" s="42"/>
      <c r="L422" s="42"/>
      <c r="M422" s="42"/>
      <c r="N422" s="42"/>
      <c r="O422" s="42"/>
      <c r="P422" s="42"/>
      <c r="Q422" s="42"/>
      <c r="R422" s="42"/>
      <c r="S422" s="42"/>
      <c r="T422" s="42"/>
      <c r="U422" s="42"/>
    </row>
    <row r="424" spans="2:23" ht="18.75" customHeight="1">
      <c r="B424" s="43" t="s">
        <v>163</v>
      </c>
      <c r="C424" s="51" t="s">
        <v>3607</v>
      </c>
      <c r="D424" s="90"/>
      <c r="W424" s="35" t="str">
        <f>"-- "&amp;B424&amp;" : "&amp;C424</f>
        <v>-- SQL_ID : 01_A3-30</v>
      </c>
    </row>
    <row r="425" spans="2:23" ht="18.75" customHeight="1">
      <c r="B425" s="43" t="s">
        <v>158</v>
      </c>
      <c r="C425" s="102" t="str">
        <f>R428&amp;"登録"</f>
        <v>バックアップ_ICD10大分類マスタ登録</v>
      </c>
      <c r="D425" s="103"/>
      <c r="E425" s="103"/>
      <c r="F425" s="103"/>
      <c r="G425" s="103"/>
      <c r="H425" s="103"/>
      <c r="I425" s="103"/>
      <c r="J425" s="103"/>
      <c r="K425" s="103"/>
      <c r="L425" s="103"/>
      <c r="M425" s="103"/>
      <c r="N425" s="103"/>
      <c r="O425" s="103"/>
      <c r="P425" s="103"/>
      <c r="Q425" s="103"/>
      <c r="R425" s="103"/>
      <c r="S425" s="103"/>
      <c r="T425" s="103"/>
      <c r="U425" s="104"/>
      <c r="W425" s="35" t="str">
        <f>"-- "&amp;C425</f>
        <v>-- バックアップ_ICD10大分類マスタ登録</v>
      </c>
    </row>
    <row r="426" spans="2:23" ht="18.75" customHeight="1">
      <c r="B426" s="43" t="s">
        <v>159</v>
      </c>
      <c r="C426" s="105" t="str">
        <f>C428&amp;"テーブルのレコードを"&amp;R428&amp;"テーブルに格納する。"</f>
        <v>ICD10大分類マスタテーブルのレコードをバックアップ_ICD10大分類マスタテーブルに格納する。</v>
      </c>
      <c r="D426" s="106"/>
      <c r="E426" s="106"/>
      <c r="F426" s="106"/>
      <c r="G426" s="106"/>
      <c r="H426" s="106"/>
      <c r="I426" s="106"/>
      <c r="J426" s="106"/>
      <c r="K426" s="106"/>
      <c r="L426" s="106"/>
      <c r="M426" s="106"/>
      <c r="N426" s="106"/>
      <c r="O426" s="106"/>
      <c r="P426" s="106"/>
      <c r="Q426" s="106"/>
      <c r="R426" s="106"/>
      <c r="S426" s="106"/>
      <c r="T426" s="106"/>
      <c r="U426" s="107"/>
      <c r="W426" s="35" t="str">
        <f>"-- "&amp;C426</f>
        <v>-- ICD10大分類マスタテーブルのレコードをバックアップ_ICD10大分類マスタテーブルに格納する。</v>
      </c>
    </row>
    <row r="428" spans="2:23" ht="18.75" customHeight="1">
      <c r="C428" s="96" t="s">
        <v>3608</v>
      </c>
      <c r="D428" s="97"/>
      <c r="E428" s="108" t="s">
        <v>162</v>
      </c>
      <c r="F428" s="36"/>
      <c r="G428" s="36"/>
      <c r="H428" s="36"/>
      <c r="I428" s="36"/>
      <c r="J428" s="36"/>
      <c r="K428" s="36"/>
      <c r="L428" s="36"/>
      <c r="M428" s="36"/>
      <c r="N428" s="36"/>
      <c r="O428" s="36"/>
      <c r="P428" s="36"/>
      <c r="Q428" s="36"/>
      <c r="R428" s="96" t="str">
        <f>"バックアップ_"&amp;SUBSTITUTE(C428,"_結合","")</f>
        <v>バックアップ_ICD10大分類マスタ</v>
      </c>
      <c r="S428" s="97"/>
      <c r="T428" s="100" t="str">
        <f>エンティティ一覧!$O$2</f>
        <v>milscm_2023_010</v>
      </c>
    </row>
    <row r="429" spans="2:23" ht="18.75" customHeight="1">
      <c r="C429" s="98"/>
      <c r="D429" s="99"/>
      <c r="E429" s="109"/>
      <c r="F429" s="37"/>
      <c r="G429" s="37"/>
      <c r="H429" s="37"/>
      <c r="I429" s="37"/>
      <c r="J429" s="37"/>
      <c r="K429" s="37"/>
      <c r="L429" s="37"/>
      <c r="M429" s="37"/>
      <c r="N429" s="37"/>
      <c r="O429" s="37"/>
      <c r="P429" s="37"/>
      <c r="Q429" s="37"/>
      <c r="R429" s="98"/>
      <c r="S429" s="99"/>
      <c r="T429" s="101"/>
    </row>
    <row r="431" spans="2:23" ht="18.75" customHeight="1" thickBot="1">
      <c r="B431" s="42"/>
      <c r="C431" s="42"/>
      <c r="D431" s="42"/>
      <c r="E431" s="42"/>
      <c r="F431" s="42"/>
      <c r="G431" s="42"/>
      <c r="H431" s="42"/>
      <c r="I431" s="42"/>
      <c r="J431" s="42"/>
      <c r="K431" s="42"/>
      <c r="L431" s="42"/>
      <c r="M431" s="42"/>
      <c r="N431" s="42"/>
      <c r="O431" s="42"/>
      <c r="P431" s="42"/>
      <c r="Q431" s="42"/>
      <c r="R431" s="42"/>
      <c r="S431" s="42"/>
      <c r="T431" s="42"/>
      <c r="U431" s="42"/>
    </row>
    <row r="433" spans="2:23" ht="18.75" customHeight="1">
      <c r="B433" s="43" t="s">
        <v>163</v>
      </c>
      <c r="C433" s="51" t="s">
        <v>3609</v>
      </c>
      <c r="D433" s="90"/>
      <c r="W433" s="35" t="str">
        <f>"-- "&amp;B433&amp;" : "&amp;C433</f>
        <v>-- SQL_ID : 01_A3-31</v>
      </c>
    </row>
    <row r="434" spans="2:23" ht="18.75" customHeight="1">
      <c r="B434" s="43" t="s">
        <v>158</v>
      </c>
      <c r="C434" s="102" t="str">
        <f>R437&amp;"登録"</f>
        <v>バックアップ_ICD10中分類マスタ登録</v>
      </c>
      <c r="D434" s="103"/>
      <c r="E434" s="103"/>
      <c r="F434" s="103"/>
      <c r="G434" s="103"/>
      <c r="H434" s="103"/>
      <c r="I434" s="103"/>
      <c r="J434" s="103"/>
      <c r="K434" s="103"/>
      <c r="L434" s="103"/>
      <c r="M434" s="103"/>
      <c r="N434" s="103"/>
      <c r="O434" s="103"/>
      <c r="P434" s="103"/>
      <c r="Q434" s="103"/>
      <c r="R434" s="103"/>
      <c r="S434" s="103"/>
      <c r="T434" s="103"/>
      <c r="U434" s="104"/>
      <c r="W434" s="35" t="str">
        <f>"-- "&amp;C434</f>
        <v>-- バックアップ_ICD10中分類マスタ登録</v>
      </c>
    </row>
    <row r="435" spans="2:23" ht="18.75" customHeight="1">
      <c r="B435" s="43" t="s">
        <v>159</v>
      </c>
      <c r="C435" s="105" t="str">
        <f>C437&amp;"テーブルのレコードを"&amp;R437&amp;"テーブルに格納する。"</f>
        <v>ICD10中分類マスタテーブルのレコードをバックアップ_ICD10中分類マスタテーブルに格納する。</v>
      </c>
      <c r="D435" s="106"/>
      <c r="E435" s="106"/>
      <c r="F435" s="106"/>
      <c r="G435" s="106"/>
      <c r="H435" s="106"/>
      <c r="I435" s="106"/>
      <c r="J435" s="106"/>
      <c r="K435" s="106"/>
      <c r="L435" s="106"/>
      <c r="M435" s="106"/>
      <c r="N435" s="106"/>
      <c r="O435" s="106"/>
      <c r="P435" s="106"/>
      <c r="Q435" s="106"/>
      <c r="R435" s="106"/>
      <c r="S435" s="106"/>
      <c r="T435" s="106"/>
      <c r="U435" s="107"/>
      <c r="W435" s="35" t="str">
        <f>"-- "&amp;C435</f>
        <v>-- ICD10中分類マスタテーブルのレコードをバックアップ_ICD10中分類マスタテーブルに格納する。</v>
      </c>
    </row>
    <row r="437" spans="2:23" ht="18.75" customHeight="1">
      <c r="C437" s="96" t="s">
        <v>3610</v>
      </c>
      <c r="D437" s="97"/>
      <c r="E437" s="108" t="s">
        <v>162</v>
      </c>
      <c r="F437" s="36"/>
      <c r="G437" s="36"/>
      <c r="H437" s="36"/>
      <c r="I437" s="36"/>
      <c r="J437" s="36"/>
      <c r="K437" s="36"/>
      <c r="L437" s="36"/>
      <c r="M437" s="36"/>
      <c r="N437" s="36"/>
      <c r="O437" s="36"/>
      <c r="P437" s="36"/>
      <c r="Q437" s="36"/>
      <c r="R437" s="96" t="str">
        <f>"バックアップ_"&amp;SUBSTITUTE(C437,"_結合","")</f>
        <v>バックアップ_ICD10中分類マスタ</v>
      </c>
      <c r="S437" s="97"/>
      <c r="T437" s="100" t="str">
        <f>エンティティ一覧!$O$2</f>
        <v>milscm_2023_010</v>
      </c>
    </row>
    <row r="438" spans="2:23" ht="18.75" customHeight="1">
      <c r="C438" s="98"/>
      <c r="D438" s="99"/>
      <c r="E438" s="109"/>
      <c r="F438" s="37"/>
      <c r="G438" s="37"/>
      <c r="H438" s="37"/>
      <c r="I438" s="37"/>
      <c r="J438" s="37"/>
      <c r="K438" s="37"/>
      <c r="L438" s="37"/>
      <c r="M438" s="37"/>
      <c r="N438" s="37"/>
      <c r="O438" s="37"/>
      <c r="P438" s="37"/>
      <c r="Q438" s="37"/>
      <c r="R438" s="98"/>
      <c r="S438" s="99"/>
      <c r="T438" s="101"/>
    </row>
    <row r="440" spans="2:23" ht="18.75" customHeight="1" thickBot="1">
      <c r="B440" s="42"/>
      <c r="C440" s="42"/>
      <c r="D440" s="42"/>
      <c r="E440" s="42"/>
      <c r="F440" s="42"/>
      <c r="G440" s="42"/>
      <c r="H440" s="42"/>
      <c r="I440" s="42"/>
      <c r="J440" s="42"/>
      <c r="K440" s="42"/>
      <c r="L440" s="42"/>
      <c r="M440" s="42"/>
      <c r="N440" s="42"/>
      <c r="O440" s="42"/>
      <c r="P440" s="42"/>
      <c r="Q440" s="42"/>
      <c r="R440" s="42"/>
      <c r="S440" s="42"/>
      <c r="T440" s="42"/>
      <c r="U440" s="42"/>
    </row>
    <row r="442" spans="2:23" ht="18.75" customHeight="1">
      <c r="B442" s="43" t="s">
        <v>163</v>
      </c>
      <c r="C442" s="51" t="s">
        <v>3611</v>
      </c>
      <c r="D442" s="90"/>
      <c r="W442" s="35" t="str">
        <f>"-- "&amp;B442&amp;" : "&amp;C442</f>
        <v>-- SQL_ID : 01_A3-32</v>
      </c>
    </row>
    <row r="443" spans="2:23" ht="18.75" customHeight="1">
      <c r="B443" s="43" t="s">
        <v>158</v>
      </c>
      <c r="C443" s="102" t="str">
        <f>R446&amp;"登録"</f>
        <v>バックアップ_ICD10小分類マスタ登録</v>
      </c>
      <c r="D443" s="103"/>
      <c r="E443" s="103"/>
      <c r="F443" s="103"/>
      <c r="G443" s="103"/>
      <c r="H443" s="103"/>
      <c r="I443" s="103"/>
      <c r="J443" s="103"/>
      <c r="K443" s="103"/>
      <c r="L443" s="103"/>
      <c r="M443" s="103"/>
      <c r="N443" s="103"/>
      <c r="O443" s="103"/>
      <c r="P443" s="103"/>
      <c r="Q443" s="103"/>
      <c r="R443" s="103"/>
      <c r="S443" s="103"/>
      <c r="T443" s="103"/>
      <c r="U443" s="104"/>
      <c r="W443" s="35" t="str">
        <f>"-- "&amp;C443</f>
        <v>-- バックアップ_ICD10小分類マスタ登録</v>
      </c>
    </row>
    <row r="444" spans="2:23" ht="18.75" customHeight="1">
      <c r="B444" s="43" t="s">
        <v>159</v>
      </c>
      <c r="C444" s="105" t="str">
        <f>C446&amp;"テーブルのレコードを"&amp;R446&amp;"テーブルに格納する。"</f>
        <v>ICD10小分類マスタテーブルのレコードをバックアップ_ICD10小分類マスタテーブルに格納する。</v>
      </c>
      <c r="D444" s="106"/>
      <c r="E444" s="106"/>
      <c r="F444" s="106"/>
      <c r="G444" s="106"/>
      <c r="H444" s="106"/>
      <c r="I444" s="106"/>
      <c r="J444" s="106"/>
      <c r="K444" s="106"/>
      <c r="L444" s="106"/>
      <c r="M444" s="106"/>
      <c r="N444" s="106"/>
      <c r="O444" s="106"/>
      <c r="P444" s="106"/>
      <c r="Q444" s="106"/>
      <c r="R444" s="106"/>
      <c r="S444" s="106"/>
      <c r="T444" s="106"/>
      <c r="U444" s="107"/>
      <c r="W444" s="35" t="str">
        <f>"-- "&amp;C444</f>
        <v>-- ICD10小分類マスタテーブルのレコードをバックアップ_ICD10小分類マスタテーブルに格納する。</v>
      </c>
    </row>
    <row r="446" spans="2:23" ht="18.75" customHeight="1">
      <c r="C446" s="96" t="s">
        <v>3612</v>
      </c>
      <c r="D446" s="97"/>
      <c r="E446" s="108" t="s">
        <v>162</v>
      </c>
      <c r="F446" s="36"/>
      <c r="G446" s="36"/>
      <c r="H446" s="36"/>
      <c r="I446" s="36"/>
      <c r="J446" s="36"/>
      <c r="K446" s="36"/>
      <c r="L446" s="36"/>
      <c r="M446" s="36"/>
      <c r="N446" s="36"/>
      <c r="O446" s="36"/>
      <c r="P446" s="36"/>
      <c r="Q446" s="36"/>
      <c r="R446" s="96" t="str">
        <f>"バックアップ_"&amp;SUBSTITUTE(C446,"_結合","")</f>
        <v>バックアップ_ICD10小分類マスタ</v>
      </c>
      <c r="S446" s="97"/>
      <c r="T446" s="100" t="str">
        <f>エンティティ一覧!$O$2</f>
        <v>milscm_2023_010</v>
      </c>
    </row>
    <row r="447" spans="2:23" ht="18.75" customHeight="1">
      <c r="C447" s="98"/>
      <c r="D447" s="99"/>
      <c r="E447" s="109"/>
      <c r="F447" s="37"/>
      <c r="G447" s="37"/>
      <c r="H447" s="37"/>
      <c r="I447" s="37"/>
      <c r="J447" s="37"/>
      <c r="K447" s="37"/>
      <c r="L447" s="37"/>
      <c r="M447" s="37"/>
      <c r="N447" s="37"/>
      <c r="O447" s="37"/>
      <c r="P447" s="37"/>
      <c r="Q447" s="37"/>
      <c r="R447" s="98"/>
      <c r="S447" s="99"/>
      <c r="T447" s="101"/>
    </row>
    <row r="449" spans="2:23" ht="18.75" customHeight="1" thickBot="1">
      <c r="B449" s="42"/>
      <c r="C449" s="42"/>
      <c r="D449" s="42"/>
      <c r="E449" s="42"/>
      <c r="F449" s="42"/>
      <c r="G449" s="42"/>
      <c r="H449" s="42"/>
      <c r="I449" s="42"/>
      <c r="J449" s="42"/>
      <c r="K449" s="42"/>
      <c r="L449" s="42"/>
      <c r="M449" s="42"/>
      <c r="N449" s="42"/>
      <c r="O449" s="42"/>
      <c r="P449" s="42"/>
      <c r="Q449" s="42"/>
      <c r="R449" s="42"/>
      <c r="S449" s="42"/>
      <c r="T449" s="42"/>
      <c r="U449" s="42"/>
    </row>
    <row r="451" spans="2:23" ht="18.75" customHeight="1">
      <c r="B451" s="43" t="s">
        <v>163</v>
      </c>
      <c r="C451" s="51" t="s">
        <v>3613</v>
      </c>
      <c r="D451" s="90"/>
      <c r="W451" s="35" t="str">
        <f>"-- "&amp;B451&amp;" : "&amp;C451</f>
        <v>-- SQL_ID : 01_A3-33</v>
      </c>
    </row>
    <row r="452" spans="2:23" ht="18.75" customHeight="1">
      <c r="B452" s="43" t="s">
        <v>158</v>
      </c>
      <c r="C452" s="102" t="str">
        <f>R455&amp;"登録"</f>
        <v>バックアップ_ICD10細分類マスタ登録</v>
      </c>
      <c r="D452" s="103"/>
      <c r="E452" s="103"/>
      <c r="F452" s="103"/>
      <c r="G452" s="103"/>
      <c r="H452" s="103"/>
      <c r="I452" s="103"/>
      <c r="J452" s="103"/>
      <c r="K452" s="103"/>
      <c r="L452" s="103"/>
      <c r="M452" s="103"/>
      <c r="N452" s="103"/>
      <c r="O452" s="103"/>
      <c r="P452" s="103"/>
      <c r="Q452" s="103"/>
      <c r="R452" s="103"/>
      <c r="S452" s="103"/>
      <c r="T452" s="103"/>
      <c r="U452" s="104"/>
      <c r="W452" s="35" t="str">
        <f>"-- "&amp;C452</f>
        <v>-- バックアップ_ICD10細分類マスタ登録</v>
      </c>
    </row>
    <row r="453" spans="2:23" ht="18.75" customHeight="1">
      <c r="B453" s="43" t="s">
        <v>159</v>
      </c>
      <c r="C453" s="105" t="str">
        <f>C455&amp;"テーブルのレコードを"&amp;R455&amp;"テーブルに格納する。"</f>
        <v>ICD10細分類マスタテーブルのレコードをバックアップ_ICD10細分類マスタテーブルに格納する。</v>
      </c>
      <c r="D453" s="106"/>
      <c r="E453" s="106"/>
      <c r="F453" s="106"/>
      <c r="G453" s="106"/>
      <c r="H453" s="106"/>
      <c r="I453" s="106"/>
      <c r="J453" s="106"/>
      <c r="K453" s="106"/>
      <c r="L453" s="106"/>
      <c r="M453" s="106"/>
      <c r="N453" s="106"/>
      <c r="O453" s="106"/>
      <c r="P453" s="106"/>
      <c r="Q453" s="106"/>
      <c r="R453" s="106"/>
      <c r="S453" s="106"/>
      <c r="T453" s="106"/>
      <c r="U453" s="107"/>
      <c r="W453" s="35" t="str">
        <f>"-- "&amp;C453</f>
        <v>-- ICD10細分類マスタテーブルのレコードをバックアップ_ICD10細分類マスタテーブルに格納する。</v>
      </c>
    </row>
    <row r="455" spans="2:23" ht="18.75" customHeight="1">
      <c r="C455" s="96" t="s">
        <v>3614</v>
      </c>
      <c r="D455" s="97"/>
      <c r="E455" s="108" t="s">
        <v>162</v>
      </c>
      <c r="F455" s="36"/>
      <c r="G455" s="36"/>
      <c r="H455" s="36"/>
      <c r="I455" s="36"/>
      <c r="J455" s="36"/>
      <c r="K455" s="36"/>
      <c r="L455" s="36"/>
      <c r="M455" s="36"/>
      <c r="N455" s="36"/>
      <c r="O455" s="36"/>
      <c r="P455" s="36"/>
      <c r="Q455" s="36"/>
      <c r="R455" s="96" t="str">
        <f>"バックアップ_"&amp;SUBSTITUTE(C455,"_結合","")</f>
        <v>バックアップ_ICD10細分類マスタ</v>
      </c>
      <c r="S455" s="97"/>
      <c r="T455" s="100" t="str">
        <f>エンティティ一覧!$O$2</f>
        <v>milscm_2023_010</v>
      </c>
    </row>
    <row r="456" spans="2:23" ht="18.75" customHeight="1">
      <c r="C456" s="98"/>
      <c r="D456" s="99"/>
      <c r="E456" s="109"/>
      <c r="F456" s="37"/>
      <c r="G456" s="37"/>
      <c r="H456" s="37"/>
      <c r="I456" s="37"/>
      <c r="J456" s="37"/>
      <c r="K456" s="37"/>
      <c r="L456" s="37"/>
      <c r="M456" s="37"/>
      <c r="N456" s="37"/>
      <c r="O456" s="37"/>
      <c r="P456" s="37"/>
      <c r="Q456" s="37"/>
      <c r="R456" s="98"/>
      <c r="S456" s="99"/>
      <c r="T456" s="101"/>
    </row>
    <row r="458" spans="2:23" ht="18.75" customHeight="1" thickBot="1">
      <c r="B458" s="42"/>
      <c r="C458" s="42"/>
      <c r="D458" s="42"/>
      <c r="E458" s="42"/>
      <c r="F458" s="42"/>
      <c r="G458" s="42"/>
      <c r="H458" s="42"/>
      <c r="I458" s="42"/>
      <c r="J458" s="42"/>
      <c r="K458" s="42"/>
      <c r="L458" s="42"/>
      <c r="M458" s="42"/>
      <c r="N458" s="42"/>
      <c r="O458" s="42"/>
      <c r="P458" s="42"/>
      <c r="Q458" s="42"/>
      <c r="R458" s="42"/>
      <c r="S458" s="42"/>
      <c r="T458" s="42"/>
      <c r="U458" s="42"/>
    </row>
    <row r="460" spans="2:23" ht="18.75" customHeight="1">
      <c r="B460" s="43" t="s">
        <v>163</v>
      </c>
      <c r="C460" s="51" t="s">
        <v>3615</v>
      </c>
      <c r="D460" s="90"/>
      <c r="W460" s="35" t="str">
        <f>"-- "&amp;B460&amp;" : "&amp;C460</f>
        <v>-- SQL_ID : 01_A3-34</v>
      </c>
    </row>
    <row r="461" spans="2:23" ht="18.75" customHeight="1">
      <c r="B461" s="43" t="s">
        <v>158</v>
      </c>
      <c r="C461" s="102" t="str">
        <f>R464&amp;"登録"</f>
        <v>バックアップ_DPC2桁マスタ登録</v>
      </c>
      <c r="D461" s="103"/>
      <c r="E461" s="103"/>
      <c r="F461" s="103"/>
      <c r="G461" s="103"/>
      <c r="H461" s="103"/>
      <c r="I461" s="103"/>
      <c r="J461" s="103"/>
      <c r="K461" s="103"/>
      <c r="L461" s="103"/>
      <c r="M461" s="103"/>
      <c r="N461" s="103"/>
      <c r="O461" s="103"/>
      <c r="P461" s="103"/>
      <c r="Q461" s="103"/>
      <c r="R461" s="103"/>
      <c r="S461" s="103"/>
      <c r="T461" s="103"/>
      <c r="U461" s="104"/>
      <c r="W461" s="35" t="str">
        <f>"-- "&amp;C461</f>
        <v>-- バックアップ_DPC2桁マスタ登録</v>
      </c>
    </row>
    <row r="462" spans="2:23" ht="18.75" customHeight="1">
      <c r="B462" s="43" t="s">
        <v>159</v>
      </c>
      <c r="C462" s="105" t="str">
        <f>C464&amp;"テーブルのレコードを"&amp;R464&amp;"テーブルに格納する。"</f>
        <v>DPC2桁マスタテーブルのレコードをバックアップ_DPC2桁マスタテーブルに格納する。</v>
      </c>
      <c r="D462" s="106"/>
      <c r="E462" s="106"/>
      <c r="F462" s="106"/>
      <c r="G462" s="106"/>
      <c r="H462" s="106"/>
      <c r="I462" s="106"/>
      <c r="J462" s="106"/>
      <c r="K462" s="106"/>
      <c r="L462" s="106"/>
      <c r="M462" s="106"/>
      <c r="N462" s="106"/>
      <c r="O462" s="106"/>
      <c r="P462" s="106"/>
      <c r="Q462" s="106"/>
      <c r="R462" s="106"/>
      <c r="S462" s="106"/>
      <c r="T462" s="106"/>
      <c r="U462" s="107"/>
      <c r="W462" s="35" t="str">
        <f>"-- "&amp;C462</f>
        <v>-- DPC2桁マスタテーブルのレコードをバックアップ_DPC2桁マスタテーブルに格納する。</v>
      </c>
    </row>
    <row r="464" spans="2:23" ht="18.75" customHeight="1">
      <c r="C464" s="96" t="s">
        <v>3616</v>
      </c>
      <c r="D464" s="97"/>
      <c r="E464" s="108" t="s">
        <v>162</v>
      </c>
      <c r="F464" s="36"/>
      <c r="G464" s="36"/>
      <c r="H464" s="36"/>
      <c r="I464" s="36"/>
      <c r="J464" s="36"/>
      <c r="K464" s="36"/>
      <c r="L464" s="36"/>
      <c r="M464" s="36"/>
      <c r="N464" s="36"/>
      <c r="O464" s="36"/>
      <c r="P464" s="36"/>
      <c r="Q464" s="36"/>
      <c r="R464" s="96" t="str">
        <f>"バックアップ_"&amp;SUBSTITUTE(C464,"_結合","")</f>
        <v>バックアップ_DPC2桁マスタ</v>
      </c>
      <c r="S464" s="97"/>
      <c r="T464" s="100" t="str">
        <f>エンティティ一覧!$O$2</f>
        <v>milscm_2023_010</v>
      </c>
    </row>
    <row r="465" spans="2:23" ht="18.75" customHeight="1">
      <c r="C465" s="98"/>
      <c r="D465" s="99"/>
      <c r="E465" s="109"/>
      <c r="F465" s="37"/>
      <c r="G465" s="37"/>
      <c r="H465" s="37"/>
      <c r="I465" s="37"/>
      <c r="J465" s="37"/>
      <c r="K465" s="37"/>
      <c r="L465" s="37"/>
      <c r="M465" s="37"/>
      <c r="N465" s="37"/>
      <c r="O465" s="37"/>
      <c r="P465" s="37"/>
      <c r="Q465" s="37"/>
      <c r="R465" s="98"/>
      <c r="S465" s="99"/>
      <c r="T465" s="101"/>
    </row>
    <row r="467" spans="2:23" ht="18.75" customHeight="1" thickBot="1">
      <c r="B467" s="42"/>
      <c r="C467" s="42"/>
      <c r="D467" s="42"/>
      <c r="E467" s="42"/>
      <c r="F467" s="42"/>
      <c r="G467" s="42"/>
      <c r="H467" s="42"/>
      <c r="I467" s="42"/>
      <c r="J467" s="42"/>
      <c r="K467" s="42"/>
      <c r="L467" s="42"/>
      <c r="M467" s="42"/>
      <c r="N467" s="42"/>
      <c r="O467" s="42"/>
      <c r="P467" s="42"/>
      <c r="Q467" s="42"/>
      <c r="R467" s="42"/>
      <c r="S467" s="42"/>
      <c r="T467" s="42"/>
      <c r="U467" s="42"/>
    </row>
    <row r="469" spans="2:23" ht="18.75" customHeight="1">
      <c r="B469" s="43" t="s">
        <v>163</v>
      </c>
      <c r="C469" s="51" t="s">
        <v>3617</v>
      </c>
      <c r="D469" s="90"/>
      <c r="W469" s="35" t="str">
        <f>"-- "&amp;B469&amp;" : "&amp;C469</f>
        <v>-- SQL_ID : 01_A3-35</v>
      </c>
    </row>
    <row r="470" spans="2:23" ht="18.75" customHeight="1">
      <c r="B470" s="43" t="s">
        <v>158</v>
      </c>
      <c r="C470" s="102" t="str">
        <f>R473&amp;"登録"</f>
        <v>バックアップ_DPC6桁マスタ登録</v>
      </c>
      <c r="D470" s="103"/>
      <c r="E470" s="103"/>
      <c r="F470" s="103"/>
      <c r="G470" s="103"/>
      <c r="H470" s="103"/>
      <c r="I470" s="103"/>
      <c r="J470" s="103"/>
      <c r="K470" s="103"/>
      <c r="L470" s="103"/>
      <c r="M470" s="103"/>
      <c r="N470" s="103"/>
      <c r="O470" s="103"/>
      <c r="P470" s="103"/>
      <c r="Q470" s="103"/>
      <c r="R470" s="103"/>
      <c r="S470" s="103"/>
      <c r="T470" s="103"/>
      <c r="U470" s="104"/>
      <c r="W470" s="35" t="str">
        <f>"-- "&amp;C470</f>
        <v>-- バックアップ_DPC6桁マスタ登録</v>
      </c>
    </row>
    <row r="471" spans="2:23" ht="18.75" customHeight="1">
      <c r="B471" s="43" t="s">
        <v>159</v>
      </c>
      <c r="C471" s="105" t="str">
        <f>C473&amp;"テーブルのレコードを"&amp;R473&amp;"テーブルに格納する。"</f>
        <v>DPC6桁マスタテーブルのレコードをバックアップ_DPC6桁マスタテーブルに格納する。</v>
      </c>
      <c r="D471" s="106"/>
      <c r="E471" s="106"/>
      <c r="F471" s="106"/>
      <c r="G471" s="106"/>
      <c r="H471" s="106"/>
      <c r="I471" s="106"/>
      <c r="J471" s="106"/>
      <c r="K471" s="106"/>
      <c r="L471" s="106"/>
      <c r="M471" s="106"/>
      <c r="N471" s="106"/>
      <c r="O471" s="106"/>
      <c r="P471" s="106"/>
      <c r="Q471" s="106"/>
      <c r="R471" s="106"/>
      <c r="S471" s="106"/>
      <c r="T471" s="106"/>
      <c r="U471" s="107"/>
      <c r="W471" s="35" t="str">
        <f>"-- "&amp;C471</f>
        <v>-- DPC6桁マスタテーブルのレコードをバックアップ_DPC6桁マスタテーブルに格納する。</v>
      </c>
    </row>
    <row r="473" spans="2:23" ht="18.75" customHeight="1">
      <c r="C473" s="96" t="s">
        <v>3618</v>
      </c>
      <c r="D473" s="97"/>
      <c r="E473" s="108" t="s">
        <v>162</v>
      </c>
      <c r="F473" s="36"/>
      <c r="G473" s="36"/>
      <c r="H473" s="36"/>
      <c r="I473" s="36"/>
      <c r="J473" s="36"/>
      <c r="K473" s="36"/>
      <c r="L473" s="36"/>
      <c r="M473" s="36"/>
      <c r="N473" s="36"/>
      <c r="O473" s="36"/>
      <c r="P473" s="36"/>
      <c r="Q473" s="36"/>
      <c r="R473" s="96" t="str">
        <f>"バックアップ_"&amp;SUBSTITUTE(C473,"_結合","")</f>
        <v>バックアップ_DPC6桁マスタ</v>
      </c>
      <c r="S473" s="97"/>
      <c r="T473" s="100" t="str">
        <f>エンティティ一覧!$O$2</f>
        <v>milscm_2023_010</v>
      </c>
    </row>
    <row r="474" spans="2:23" ht="18.75" customHeight="1">
      <c r="C474" s="98"/>
      <c r="D474" s="99"/>
      <c r="E474" s="109"/>
      <c r="F474" s="37"/>
      <c r="G474" s="37"/>
      <c r="H474" s="37"/>
      <c r="I474" s="37"/>
      <c r="J474" s="37"/>
      <c r="K474" s="37"/>
      <c r="L474" s="37"/>
      <c r="M474" s="37"/>
      <c r="N474" s="37"/>
      <c r="O474" s="37"/>
      <c r="P474" s="37"/>
      <c r="Q474" s="37"/>
      <c r="R474" s="98"/>
      <c r="S474" s="99"/>
      <c r="T474" s="101"/>
    </row>
    <row r="476" spans="2:23" ht="18.75" customHeight="1" thickBot="1">
      <c r="B476" s="42"/>
      <c r="C476" s="42"/>
      <c r="D476" s="42"/>
      <c r="E476" s="42"/>
      <c r="F476" s="42"/>
      <c r="G476" s="42"/>
      <c r="H476" s="42"/>
      <c r="I476" s="42"/>
      <c r="J476" s="42"/>
      <c r="K476" s="42"/>
      <c r="L476" s="42"/>
      <c r="M476" s="42"/>
      <c r="N476" s="42"/>
      <c r="O476" s="42"/>
      <c r="P476" s="42"/>
      <c r="Q476" s="42"/>
      <c r="R476" s="42"/>
      <c r="S476" s="42"/>
      <c r="T476" s="42"/>
      <c r="U476" s="42"/>
    </row>
    <row r="478" spans="2:23" ht="18.75" customHeight="1">
      <c r="B478" s="43" t="s">
        <v>163</v>
      </c>
      <c r="C478" s="51" t="s">
        <v>3619</v>
      </c>
      <c r="D478" s="90"/>
      <c r="W478" s="35" t="str">
        <f>"-- "&amp;B478&amp;" : "&amp;C478</f>
        <v>-- SQL_ID : 01_A3-36</v>
      </c>
    </row>
    <row r="479" spans="2:23" ht="18.75" customHeight="1">
      <c r="B479" s="43" t="s">
        <v>158</v>
      </c>
      <c r="C479" s="102" t="str">
        <f>R482&amp;"登録"</f>
        <v>バックアップ_郵便番号マスタ登録</v>
      </c>
      <c r="D479" s="103"/>
      <c r="E479" s="103"/>
      <c r="F479" s="103"/>
      <c r="G479" s="103"/>
      <c r="H479" s="103"/>
      <c r="I479" s="103"/>
      <c r="J479" s="103"/>
      <c r="K479" s="103"/>
      <c r="L479" s="103"/>
      <c r="M479" s="103"/>
      <c r="N479" s="103"/>
      <c r="O479" s="103"/>
      <c r="P479" s="103"/>
      <c r="Q479" s="103"/>
      <c r="R479" s="103"/>
      <c r="S479" s="103"/>
      <c r="T479" s="103"/>
      <c r="U479" s="104"/>
      <c r="W479" s="35" t="str">
        <f>"-- "&amp;C479</f>
        <v>-- バックアップ_郵便番号マスタ登録</v>
      </c>
    </row>
    <row r="480" spans="2:23" ht="18.75" customHeight="1">
      <c r="B480" s="43" t="s">
        <v>159</v>
      </c>
      <c r="C480" s="105" t="str">
        <f>C482&amp;"テーブルのレコードを"&amp;R482&amp;"テーブルに格納する。"</f>
        <v>郵便番号マスタテーブルのレコードをバックアップ_郵便番号マスタテーブルに格納する。</v>
      </c>
      <c r="D480" s="106"/>
      <c r="E480" s="106"/>
      <c r="F480" s="106"/>
      <c r="G480" s="106"/>
      <c r="H480" s="106"/>
      <c r="I480" s="106"/>
      <c r="J480" s="106"/>
      <c r="K480" s="106"/>
      <c r="L480" s="106"/>
      <c r="M480" s="106"/>
      <c r="N480" s="106"/>
      <c r="O480" s="106"/>
      <c r="P480" s="106"/>
      <c r="Q480" s="106"/>
      <c r="R480" s="106"/>
      <c r="S480" s="106"/>
      <c r="T480" s="106"/>
      <c r="U480" s="107"/>
      <c r="W480" s="35" t="str">
        <f>"-- "&amp;C480</f>
        <v>-- 郵便番号マスタテーブルのレコードをバックアップ_郵便番号マスタテーブルに格納する。</v>
      </c>
    </row>
    <row r="482" spans="2:23" ht="18.75" customHeight="1">
      <c r="C482" s="96" t="s">
        <v>3620</v>
      </c>
      <c r="D482" s="97"/>
      <c r="E482" s="108" t="s">
        <v>162</v>
      </c>
      <c r="F482" s="36"/>
      <c r="G482" s="36"/>
      <c r="H482" s="36"/>
      <c r="I482" s="36"/>
      <c r="J482" s="36"/>
      <c r="K482" s="36"/>
      <c r="L482" s="36"/>
      <c r="M482" s="36"/>
      <c r="N482" s="36"/>
      <c r="O482" s="36"/>
      <c r="P482" s="36"/>
      <c r="Q482" s="36"/>
      <c r="R482" s="96" t="str">
        <f>"バックアップ_"&amp;SUBSTITUTE(C482,"_結合","")</f>
        <v>バックアップ_郵便番号マスタ</v>
      </c>
      <c r="S482" s="97"/>
      <c r="T482" s="100" t="str">
        <f>エンティティ一覧!$O$2</f>
        <v>milscm_2023_010</v>
      </c>
    </row>
    <row r="483" spans="2:23" ht="18.75" customHeight="1">
      <c r="C483" s="98"/>
      <c r="D483" s="99"/>
      <c r="E483" s="109"/>
      <c r="F483" s="37"/>
      <c r="G483" s="37"/>
      <c r="H483" s="37"/>
      <c r="I483" s="37"/>
      <c r="J483" s="37"/>
      <c r="K483" s="37"/>
      <c r="L483" s="37"/>
      <c r="M483" s="37"/>
      <c r="N483" s="37"/>
      <c r="O483" s="37"/>
      <c r="P483" s="37"/>
      <c r="Q483" s="37"/>
      <c r="R483" s="98"/>
      <c r="S483" s="99"/>
      <c r="T483" s="101"/>
    </row>
    <row r="485" spans="2:23" ht="18.75" customHeight="1" thickBot="1">
      <c r="B485" s="42"/>
      <c r="C485" s="42"/>
      <c r="D485" s="42"/>
      <c r="E485" s="42"/>
      <c r="F485" s="42"/>
      <c r="G485" s="42"/>
      <c r="H485" s="42"/>
      <c r="I485" s="42"/>
      <c r="J485" s="42"/>
      <c r="K485" s="42"/>
      <c r="L485" s="42"/>
      <c r="M485" s="42"/>
      <c r="N485" s="42"/>
      <c r="O485" s="42"/>
      <c r="P485" s="42"/>
      <c r="Q485" s="42"/>
      <c r="R485" s="42"/>
      <c r="S485" s="42"/>
      <c r="T485" s="42"/>
      <c r="U485" s="42"/>
    </row>
    <row r="487" spans="2:23" ht="18.75" customHeight="1">
      <c r="B487" s="43" t="s">
        <v>163</v>
      </c>
      <c r="C487" s="51" t="s">
        <v>3621</v>
      </c>
      <c r="D487" s="90"/>
      <c r="W487" s="35" t="str">
        <f>"-- "&amp;B487&amp;" : "&amp;C487</f>
        <v>-- SQL_ID : 01_A3-37</v>
      </c>
    </row>
    <row r="488" spans="2:23" ht="18.75" customHeight="1">
      <c r="B488" s="43" t="s">
        <v>158</v>
      </c>
      <c r="C488" s="102" t="str">
        <f>R491&amp;"登録"</f>
        <v>バックアップ_特定機材マスタ登録</v>
      </c>
      <c r="D488" s="103"/>
      <c r="E488" s="103"/>
      <c r="F488" s="103"/>
      <c r="G488" s="103"/>
      <c r="H488" s="103"/>
      <c r="I488" s="103"/>
      <c r="J488" s="103"/>
      <c r="K488" s="103"/>
      <c r="L488" s="103"/>
      <c r="M488" s="103"/>
      <c r="N488" s="103"/>
      <c r="O488" s="103"/>
      <c r="P488" s="103"/>
      <c r="Q488" s="103"/>
      <c r="R488" s="103"/>
      <c r="S488" s="103"/>
      <c r="T488" s="103"/>
      <c r="U488" s="104"/>
      <c r="W488" s="35" t="str">
        <f>"-- "&amp;C488</f>
        <v>-- バックアップ_特定機材マスタ登録</v>
      </c>
    </row>
    <row r="489" spans="2:23" ht="18.75" customHeight="1">
      <c r="B489" s="43" t="s">
        <v>159</v>
      </c>
      <c r="C489" s="105" t="str">
        <f>C491&amp;"テーブルのレコードを"&amp;R491&amp;"テーブルに格納する。"</f>
        <v>特定機材マスタテーブルのレコードをバックアップ_特定機材マスタテーブルに格納する。</v>
      </c>
      <c r="D489" s="106"/>
      <c r="E489" s="106"/>
      <c r="F489" s="106"/>
      <c r="G489" s="106"/>
      <c r="H489" s="106"/>
      <c r="I489" s="106"/>
      <c r="J489" s="106"/>
      <c r="K489" s="106"/>
      <c r="L489" s="106"/>
      <c r="M489" s="106"/>
      <c r="N489" s="106"/>
      <c r="O489" s="106"/>
      <c r="P489" s="106"/>
      <c r="Q489" s="106"/>
      <c r="R489" s="106"/>
      <c r="S489" s="106"/>
      <c r="T489" s="106"/>
      <c r="U489" s="107"/>
      <c r="W489" s="35" t="str">
        <f>"-- "&amp;C489</f>
        <v>-- 特定機材マスタテーブルのレコードをバックアップ_特定機材マスタテーブルに格納する。</v>
      </c>
    </row>
    <row r="491" spans="2:23" ht="18.75" customHeight="1">
      <c r="C491" s="96" t="s">
        <v>3622</v>
      </c>
      <c r="D491" s="97"/>
      <c r="E491" s="108" t="s">
        <v>162</v>
      </c>
      <c r="F491" s="36"/>
      <c r="G491" s="36"/>
      <c r="H491" s="36"/>
      <c r="I491" s="36"/>
      <c r="J491" s="36"/>
      <c r="K491" s="36"/>
      <c r="L491" s="36"/>
      <c r="M491" s="36"/>
      <c r="N491" s="36"/>
      <c r="O491" s="36"/>
      <c r="P491" s="36"/>
      <c r="Q491" s="36"/>
      <c r="R491" s="96" t="str">
        <f>"バックアップ_"&amp;SUBSTITUTE(C491,"_結合","")</f>
        <v>バックアップ_特定機材マスタ</v>
      </c>
      <c r="S491" s="97"/>
      <c r="T491" s="100" t="str">
        <f>エンティティ一覧!$O$2</f>
        <v>milscm_2023_010</v>
      </c>
    </row>
    <row r="492" spans="2:23" ht="18.75" customHeight="1">
      <c r="C492" s="98"/>
      <c r="D492" s="99"/>
      <c r="E492" s="109"/>
      <c r="F492" s="37"/>
      <c r="G492" s="37"/>
      <c r="H492" s="37"/>
      <c r="I492" s="37"/>
      <c r="J492" s="37"/>
      <c r="K492" s="37"/>
      <c r="L492" s="37"/>
      <c r="M492" s="37"/>
      <c r="N492" s="37"/>
      <c r="O492" s="37"/>
      <c r="P492" s="37"/>
      <c r="Q492" s="37"/>
      <c r="R492" s="98"/>
      <c r="S492" s="99"/>
      <c r="T492" s="101"/>
    </row>
    <row r="494" spans="2:23" ht="18.75" customHeight="1" thickBot="1">
      <c r="B494" s="42"/>
      <c r="C494" s="42"/>
      <c r="D494" s="42"/>
      <c r="E494" s="42"/>
      <c r="F494" s="42"/>
      <c r="G494" s="42"/>
      <c r="H494" s="42"/>
      <c r="I494" s="42"/>
      <c r="J494" s="42"/>
      <c r="K494" s="42"/>
      <c r="L494" s="42"/>
      <c r="M494" s="42"/>
      <c r="N494" s="42"/>
      <c r="O494" s="42"/>
      <c r="P494" s="42"/>
      <c r="Q494" s="42"/>
      <c r="R494" s="42"/>
      <c r="S494" s="42"/>
      <c r="T494" s="42"/>
      <c r="U494" s="42"/>
    </row>
    <row r="496" spans="2:23" ht="18.75" customHeight="1">
      <c r="B496" s="43" t="s">
        <v>163</v>
      </c>
      <c r="C496" s="51" t="s">
        <v>3623</v>
      </c>
      <c r="D496" s="90"/>
      <c r="W496" s="35" t="str">
        <f>"-- "&amp;B496&amp;" : "&amp;C496</f>
        <v>-- SQL_ID : 01_A4-01</v>
      </c>
    </row>
    <row r="497" spans="2:23" ht="18.75" customHeight="1">
      <c r="B497" s="43" t="s">
        <v>158</v>
      </c>
      <c r="C497" s="102" t="str">
        <f>R500&amp;"登録"</f>
        <v>バックアップ_年度マスタ登録</v>
      </c>
      <c r="D497" s="103"/>
      <c r="E497" s="103"/>
      <c r="F497" s="103"/>
      <c r="G497" s="103"/>
      <c r="H497" s="103"/>
      <c r="I497" s="103"/>
      <c r="J497" s="103"/>
      <c r="K497" s="103"/>
      <c r="L497" s="103"/>
      <c r="M497" s="103"/>
      <c r="N497" s="103"/>
      <c r="O497" s="103"/>
      <c r="P497" s="103"/>
      <c r="Q497" s="103"/>
      <c r="R497" s="103"/>
      <c r="S497" s="103"/>
      <c r="T497" s="103"/>
      <c r="U497" s="104"/>
      <c r="W497" s="35" t="str">
        <f>"-- "&amp;C497</f>
        <v>-- バックアップ_年度マスタ登録</v>
      </c>
    </row>
    <row r="498" spans="2:23" ht="18.75" customHeight="1">
      <c r="B498" s="43" t="s">
        <v>159</v>
      </c>
      <c r="C498" s="105" t="str">
        <f>C500&amp;"テーブルのレコードを"&amp;R500&amp;"テーブルに格納する。"</f>
        <v>年度マスタテーブルのレコードをバックアップ_年度マスタテーブルに格納する。</v>
      </c>
      <c r="D498" s="106"/>
      <c r="E498" s="106"/>
      <c r="F498" s="106"/>
      <c r="G498" s="106"/>
      <c r="H498" s="106"/>
      <c r="I498" s="106"/>
      <c r="J498" s="106"/>
      <c r="K498" s="106"/>
      <c r="L498" s="106"/>
      <c r="M498" s="106"/>
      <c r="N498" s="106"/>
      <c r="O498" s="106"/>
      <c r="P498" s="106"/>
      <c r="Q498" s="106"/>
      <c r="R498" s="106"/>
      <c r="S498" s="106"/>
      <c r="T498" s="106"/>
      <c r="U498" s="107"/>
      <c r="W498" s="35" t="str">
        <f>"-- "&amp;C498</f>
        <v>-- 年度マスタテーブルのレコードをバックアップ_年度マスタテーブルに格納する。</v>
      </c>
    </row>
    <row r="500" spans="2:23" ht="18.75" customHeight="1">
      <c r="C500" s="96" t="s">
        <v>3624</v>
      </c>
      <c r="D500" s="97"/>
      <c r="E500" s="108" t="s">
        <v>162</v>
      </c>
      <c r="F500" s="36"/>
      <c r="G500" s="36"/>
      <c r="H500" s="36"/>
      <c r="I500" s="36"/>
      <c r="J500" s="36"/>
      <c r="K500" s="36"/>
      <c r="L500" s="36"/>
      <c r="M500" s="36"/>
      <c r="N500" s="36"/>
      <c r="O500" s="36"/>
      <c r="P500" s="36"/>
      <c r="Q500" s="36"/>
      <c r="R500" s="96" t="str">
        <f>"バックアップ_"&amp;SUBSTITUTE(C500,"_結合","")</f>
        <v>バックアップ_年度マスタ</v>
      </c>
      <c r="S500" s="97"/>
      <c r="T500" s="100" t="str">
        <f>エンティティ一覧!$O$2</f>
        <v>milscm_2023_010</v>
      </c>
    </row>
    <row r="501" spans="2:23" ht="18.75" customHeight="1">
      <c r="C501" s="98"/>
      <c r="D501" s="99"/>
      <c r="E501" s="109"/>
      <c r="F501" s="37"/>
      <c r="G501" s="37"/>
      <c r="H501" s="37"/>
      <c r="I501" s="37"/>
      <c r="J501" s="37"/>
      <c r="K501" s="37"/>
      <c r="L501" s="37"/>
      <c r="M501" s="37"/>
      <c r="N501" s="37"/>
      <c r="O501" s="37"/>
      <c r="P501" s="37"/>
      <c r="Q501" s="37"/>
      <c r="R501" s="98"/>
      <c r="S501" s="99"/>
      <c r="T501" s="101"/>
    </row>
    <row r="503" spans="2:23" ht="18.75" customHeight="1" thickBot="1">
      <c r="B503" s="42"/>
      <c r="C503" s="42"/>
      <c r="D503" s="42"/>
      <c r="E503" s="42"/>
      <c r="F503" s="42"/>
      <c r="G503" s="42"/>
      <c r="H503" s="42"/>
      <c r="I503" s="42"/>
      <c r="J503" s="42"/>
      <c r="K503" s="42"/>
      <c r="L503" s="42"/>
      <c r="M503" s="42"/>
      <c r="N503" s="42"/>
      <c r="O503" s="42"/>
      <c r="P503" s="42"/>
      <c r="Q503" s="42"/>
      <c r="R503" s="42"/>
      <c r="S503" s="42"/>
      <c r="T503" s="42"/>
      <c r="U503" s="42"/>
    </row>
    <row r="505" spans="2:23" ht="18.75" customHeight="1">
      <c r="B505" s="43" t="s">
        <v>163</v>
      </c>
      <c r="C505" s="51" t="s">
        <v>3625</v>
      </c>
      <c r="D505" s="90"/>
      <c r="W505" s="35" t="str">
        <f>"-- "&amp;B505&amp;" : "&amp;C505</f>
        <v>-- SQL_ID : 01_A4-02</v>
      </c>
    </row>
    <row r="506" spans="2:23" ht="18.75" customHeight="1">
      <c r="B506" s="43" t="s">
        <v>158</v>
      </c>
      <c r="C506" s="102" t="str">
        <f>R509&amp;"登録"</f>
        <v>バックアップ_都道府県地方コードマスタ登録</v>
      </c>
      <c r="D506" s="103"/>
      <c r="E506" s="103"/>
      <c r="F506" s="103"/>
      <c r="G506" s="103"/>
      <c r="H506" s="103"/>
      <c r="I506" s="103"/>
      <c r="J506" s="103"/>
      <c r="K506" s="103"/>
      <c r="L506" s="103"/>
      <c r="M506" s="103"/>
      <c r="N506" s="103"/>
      <c r="O506" s="103"/>
      <c r="P506" s="103"/>
      <c r="Q506" s="103"/>
      <c r="R506" s="103"/>
      <c r="S506" s="103"/>
      <c r="T506" s="103"/>
      <c r="U506" s="104"/>
      <c r="W506" s="35" t="str">
        <f>"-- "&amp;C506</f>
        <v>-- バックアップ_都道府県地方コードマスタ登録</v>
      </c>
    </row>
    <row r="507" spans="2:23" ht="18.75" customHeight="1">
      <c r="B507" s="43" t="s">
        <v>159</v>
      </c>
      <c r="C507" s="105" t="str">
        <f>C509&amp;"テーブルのレコードを"&amp;R509&amp;"テーブルに格納する。"</f>
        <v>都道府県地方コードマスタテーブルのレコードをバックアップ_都道府県地方コードマスタテーブルに格納する。</v>
      </c>
      <c r="D507" s="106"/>
      <c r="E507" s="106"/>
      <c r="F507" s="106"/>
      <c r="G507" s="106"/>
      <c r="H507" s="106"/>
      <c r="I507" s="106"/>
      <c r="J507" s="106"/>
      <c r="K507" s="106"/>
      <c r="L507" s="106"/>
      <c r="M507" s="106"/>
      <c r="N507" s="106"/>
      <c r="O507" s="106"/>
      <c r="P507" s="106"/>
      <c r="Q507" s="106"/>
      <c r="R507" s="106"/>
      <c r="S507" s="106"/>
      <c r="T507" s="106"/>
      <c r="U507" s="107"/>
      <c r="W507" s="35" t="str">
        <f>"-- "&amp;C507</f>
        <v>-- 都道府県地方コードマスタテーブルのレコードをバックアップ_都道府県地方コードマスタテーブルに格納する。</v>
      </c>
    </row>
    <row r="509" spans="2:23" ht="18.75" customHeight="1">
      <c r="C509" s="96" t="s">
        <v>3626</v>
      </c>
      <c r="D509" s="97"/>
      <c r="E509" s="108" t="s">
        <v>162</v>
      </c>
      <c r="F509" s="36"/>
      <c r="G509" s="36"/>
      <c r="H509" s="36"/>
      <c r="I509" s="36"/>
      <c r="J509" s="36"/>
      <c r="K509" s="36"/>
      <c r="L509" s="36"/>
      <c r="M509" s="36"/>
      <c r="N509" s="36"/>
      <c r="O509" s="36"/>
      <c r="P509" s="36"/>
      <c r="Q509" s="36"/>
      <c r="R509" s="96" t="str">
        <f>"バックアップ_"&amp;SUBSTITUTE(C509,"_結合","")</f>
        <v>バックアップ_都道府県地方コードマスタ</v>
      </c>
      <c r="S509" s="97"/>
      <c r="T509" s="100" t="str">
        <f>エンティティ一覧!$O$2</f>
        <v>milscm_2023_010</v>
      </c>
    </row>
    <row r="510" spans="2:23" ht="18.75" customHeight="1">
      <c r="C510" s="98"/>
      <c r="D510" s="99"/>
      <c r="E510" s="109"/>
      <c r="F510" s="37"/>
      <c r="G510" s="37"/>
      <c r="H510" s="37"/>
      <c r="I510" s="37"/>
      <c r="J510" s="37"/>
      <c r="K510" s="37"/>
      <c r="L510" s="37"/>
      <c r="M510" s="37"/>
      <c r="N510" s="37"/>
      <c r="O510" s="37"/>
      <c r="P510" s="37"/>
      <c r="Q510" s="37"/>
      <c r="R510" s="98"/>
      <c r="S510" s="99"/>
      <c r="T510" s="101"/>
    </row>
    <row r="512" spans="2:23" ht="18.75" customHeight="1" thickBot="1">
      <c r="B512" s="42"/>
      <c r="C512" s="42"/>
      <c r="D512" s="42"/>
      <c r="E512" s="42"/>
      <c r="F512" s="42"/>
      <c r="G512" s="42"/>
      <c r="H512" s="42"/>
      <c r="I512" s="42"/>
      <c r="J512" s="42"/>
      <c r="K512" s="42"/>
      <c r="L512" s="42"/>
      <c r="M512" s="42"/>
      <c r="N512" s="42"/>
      <c r="O512" s="42"/>
      <c r="P512" s="42"/>
      <c r="Q512" s="42"/>
      <c r="R512" s="42"/>
      <c r="S512" s="42"/>
      <c r="T512" s="42"/>
      <c r="U512" s="42"/>
    </row>
    <row r="514" spans="2:23" ht="18.75" customHeight="1">
      <c r="B514" s="43" t="s">
        <v>163</v>
      </c>
      <c r="C514" s="51" t="s">
        <v>3627</v>
      </c>
      <c r="D514" s="90"/>
      <c r="W514" s="35" t="str">
        <f>"-- "&amp;B514&amp;" : "&amp;C514</f>
        <v>-- SQL_ID : 01_A4-03</v>
      </c>
    </row>
    <row r="515" spans="2:23" ht="18.75" customHeight="1">
      <c r="B515" s="43" t="s">
        <v>158</v>
      </c>
      <c r="C515" s="102" t="str">
        <f>R518&amp;"登録"</f>
        <v>バックアップ_施設属性マスタ登録</v>
      </c>
      <c r="D515" s="103"/>
      <c r="E515" s="103"/>
      <c r="F515" s="103"/>
      <c r="G515" s="103"/>
      <c r="H515" s="103"/>
      <c r="I515" s="103"/>
      <c r="J515" s="103"/>
      <c r="K515" s="103"/>
      <c r="L515" s="103"/>
      <c r="M515" s="103"/>
      <c r="N515" s="103"/>
      <c r="O515" s="103"/>
      <c r="P515" s="103"/>
      <c r="Q515" s="103"/>
      <c r="R515" s="103"/>
      <c r="S515" s="103"/>
      <c r="T515" s="103"/>
      <c r="U515" s="104"/>
      <c r="W515" s="35" t="str">
        <f>"-- "&amp;C515</f>
        <v>-- バックアップ_施設属性マスタ登録</v>
      </c>
    </row>
    <row r="516" spans="2:23" ht="18.75" customHeight="1">
      <c r="B516" s="43" t="s">
        <v>159</v>
      </c>
      <c r="C516" s="105" t="str">
        <f>C518&amp;"テーブルのレコードを"&amp;R518&amp;"テーブルに格納する。"</f>
        <v>施設属性マスタテーブルのレコードをバックアップ_施設属性マスタテーブルに格納する。</v>
      </c>
      <c r="D516" s="106"/>
      <c r="E516" s="106"/>
      <c r="F516" s="106"/>
      <c r="G516" s="106"/>
      <c r="H516" s="106"/>
      <c r="I516" s="106"/>
      <c r="J516" s="106"/>
      <c r="K516" s="106"/>
      <c r="L516" s="106"/>
      <c r="M516" s="106"/>
      <c r="N516" s="106"/>
      <c r="O516" s="106"/>
      <c r="P516" s="106"/>
      <c r="Q516" s="106"/>
      <c r="R516" s="106"/>
      <c r="S516" s="106"/>
      <c r="T516" s="106"/>
      <c r="U516" s="107"/>
      <c r="W516" s="35" t="str">
        <f>"-- "&amp;C516</f>
        <v>-- 施設属性マスタテーブルのレコードをバックアップ_施設属性マスタテーブルに格納する。</v>
      </c>
    </row>
    <row r="518" spans="2:23" ht="18.75" customHeight="1">
      <c r="C518" s="96" t="s">
        <v>3628</v>
      </c>
      <c r="D518" s="97"/>
      <c r="E518" s="108" t="s">
        <v>162</v>
      </c>
      <c r="F518" s="36"/>
      <c r="G518" s="36"/>
      <c r="H518" s="36"/>
      <c r="I518" s="36"/>
      <c r="J518" s="36"/>
      <c r="K518" s="36"/>
      <c r="L518" s="36"/>
      <c r="M518" s="36"/>
      <c r="N518" s="36"/>
      <c r="O518" s="36"/>
      <c r="P518" s="36"/>
      <c r="Q518" s="36"/>
      <c r="R518" s="96" t="str">
        <f>"バックアップ_"&amp;SUBSTITUTE(C518,"_結合","")</f>
        <v>バックアップ_施設属性マスタ</v>
      </c>
      <c r="S518" s="97"/>
      <c r="T518" s="100" t="str">
        <f>エンティティ一覧!$O$2</f>
        <v>milscm_2023_010</v>
      </c>
    </row>
    <row r="519" spans="2:23" ht="18.75" customHeight="1">
      <c r="C519" s="98"/>
      <c r="D519" s="99"/>
      <c r="E519" s="109"/>
      <c r="F519" s="37"/>
      <c r="G519" s="37"/>
      <c r="H519" s="37"/>
      <c r="I519" s="37"/>
      <c r="J519" s="37"/>
      <c r="K519" s="37"/>
      <c r="L519" s="37"/>
      <c r="M519" s="37"/>
      <c r="N519" s="37"/>
      <c r="O519" s="37"/>
      <c r="P519" s="37"/>
      <c r="Q519" s="37"/>
      <c r="R519" s="98"/>
      <c r="S519" s="99"/>
      <c r="T519" s="101"/>
    </row>
    <row r="521" spans="2:23" ht="18.75" customHeight="1" thickBot="1">
      <c r="B521" s="42"/>
      <c r="C521" s="42"/>
      <c r="D521" s="42"/>
      <c r="E521" s="42"/>
      <c r="F521" s="42"/>
      <c r="G521" s="42"/>
      <c r="H521" s="42"/>
      <c r="I521" s="42"/>
      <c r="J521" s="42"/>
      <c r="K521" s="42"/>
      <c r="L521" s="42"/>
      <c r="M521" s="42"/>
      <c r="N521" s="42"/>
      <c r="O521" s="42"/>
      <c r="P521" s="42"/>
      <c r="Q521" s="42"/>
      <c r="R521" s="42"/>
      <c r="S521" s="42"/>
      <c r="T521" s="42"/>
      <c r="U521" s="42"/>
    </row>
    <row r="523" spans="2:23" ht="18.75" customHeight="1">
      <c r="B523" s="43" t="s">
        <v>163</v>
      </c>
      <c r="C523" s="51" t="s">
        <v>3629</v>
      </c>
      <c r="D523" s="90"/>
      <c r="W523" s="35" t="str">
        <f>"-- "&amp;B523&amp;" : "&amp;C523</f>
        <v>-- SQL_ID : 01_A4-04</v>
      </c>
    </row>
    <row r="524" spans="2:23" ht="18.75" customHeight="1">
      <c r="B524" s="43" t="s">
        <v>158</v>
      </c>
      <c r="C524" s="102" t="str">
        <f>R527&amp;"登録"</f>
        <v>バックアップ_二次医療圏マスタ登録</v>
      </c>
      <c r="D524" s="103"/>
      <c r="E524" s="103"/>
      <c r="F524" s="103"/>
      <c r="G524" s="103"/>
      <c r="H524" s="103"/>
      <c r="I524" s="103"/>
      <c r="J524" s="103"/>
      <c r="K524" s="103"/>
      <c r="L524" s="103"/>
      <c r="M524" s="103"/>
      <c r="N524" s="103"/>
      <c r="O524" s="103"/>
      <c r="P524" s="103"/>
      <c r="Q524" s="103"/>
      <c r="R524" s="103"/>
      <c r="S524" s="103"/>
      <c r="T524" s="103"/>
      <c r="U524" s="104"/>
      <c r="W524" s="35" t="str">
        <f>"-- "&amp;C524</f>
        <v>-- バックアップ_二次医療圏マスタ登録</v>
      </c>
    </row>
    <row r="525" spans="2:23" ht="18.75" customHeight="1">
      <c r="B525" s="43" t="s">
        <v>159</v>
      </c>
      <c r="C525" s="105" t="str">
        <f>C527&amp;"テーブルのレコードを"&amp;R527&amp;"テーブルに格納する。"</f>
        <v>二次医療圏マスタテーブルのレコードをバックアップ_二次医療圏マスタテーブルに格納する。</v>
      </c>
      <c r="D525" s="106"/>
      <c r="E525" s="106"/>
      <c r="F525" s="106"/>
      <c r="G525" s="106"/>
      <c r="H525" s="106"/>
      <c r="I525" s="106"/>
      <c r="J525" s="106"/>
      <c r="K525" s="106"/>
      <c r="L525" s="106"/>
      <c r="M525" s="106"/>
      <c r="N525" s="106"/>
      <c r="O525" s="106"/>
      <c r="P525" s="106"/>
      <c r="Q525" s="106"/>
      <c r="R525" s="106"/>
      <c r="S525" s="106"/>
      <c r="T525" s="106"/>
      <c r="U525" s="107"/>
      <c r="W525" s="35" t="str">
        <f>"-- "&amp;C525</f>
        <v>-- 二次医療圏マスタテーブルのレコードをバックアップ_二次医療圏マスタテーブルに格納する。</v>
      </c>
    </row>
    <row r="527" spans="2:23" ht="18.75" customHeight="1">
      <c r="C527" s="96" t="s">
        <v>3630</v>
      </c>
      <c r="D527" s="97"/>
      <c r="E527" s="108" t="s">
        <v>162</v>
      </c>
      <c r="F527" s="36"/>
      <c r="G527" s="36"/>
      <c r="H527" s="36"/>
      <c r="I527" s="36"/>
      <c r="J527" s="36"/>
      <c r="K527" s="36"/>
      <c r="L527" s="36"/>
      <c r="M527" s="36"/>
      <c r="N527" s="36"/>
      <c r="O527" s="36"/>
      <c r="P527" s="36"/>
      <c r="Q527" s="36"/>
      <c r="R527" s="96" t="str">
        <f>"バックアップ_"&amp;SUBSTITUTE(C527,"_結合","")</f>
        <v>バックアップ_二次医療圏マスタ</v>
      </c>
      <c r="S527" s="97"/>
      <c r="T527" s="100" t="str">
        <f>エンティティ一覧!$O$2</f>
        <v>milscm_2023_010</v>
      </c>
    </row>
    <row r="528" spans="2:23" ht="18.75" customHeight="1">
      <c r="C528" s="98"/>
      <c r="D528" s="99"/>
      <c r="E528" s="109"/>
      <c r="F528" s="37"/>
      <c r="G528" s="37"/>
      <c r="H528" s="37"/>
      <c r="I528" s="37"/>
      <c r="J528" s="37"/>
      <c r="K528" s="37"/>
      <c r="L528" s="37"/>
      <c r="M528" s="37"/>
      <c r="N528" s="37"/>
      <c r="O528" s="37"/>
      <c r="P528" s="37"/>
      <c r="Q528" s="37"/>
      <c r="R528" s="98"/>
      <c r="S528" s="99"/>
      <c r="T528" s="101"/>
    </row>
    <row r="530" spans="2:23" ht="18.75" customHeight="1" thickBot="1">
      <c r="B530" s="42"/>
      <c r="C530" s="42"/>
      <c r="D530" s="42"/>
      <c r="E530" s="42"/>
      <c r="F530" s="42"/>
      <c r="G530" s="42"/>
      <c r="H530" s="42"/>
      <c r="I530" s="42"/>
      <c r="J530" s="42"/>
      <c r="K530" s="42"/>
      <c r="L530" s="42"/>
      <c r="M530" s="42"/>
      <c r="N530" s="42"/>
      <c r="O530" s="42"/>
      <c r="P530" s="42"/>
      <c r="Q530" s="42"/>
      <c r="R530" s="42"/>
      <c r="S530" s="42"/>
      <c r="T530" s="42"/>
      <c r="U530" s="42"/>
    </row>
    <row r="532" spans="2:23" ht="18.75" customHeight="1">
      <c r="B532" s="43" t="s">
        <v>163</v>
      </c>
      <c r="C532" s="51" t="s">
        <v>3631</v>
      </c>
      <c r="D532" s="90"/>
      <c r="W532" s="35" t="str">
        <f>"-- "&amp;B532&amp;" : "&amp;C532</f>
        <v>-- SQL_ID : 01_A4-05</v>
      </c>
    </row>
    <row r="533" spans="2:23" ht="18.75" customHeight="1">
      <c r="B533" s="43" t="s">
        <v>158</v>
      </c>
      <c r="C533" s="102" t="str">
        <f>R536&amp;"登録"</f>
        <v>バックアップ_施設ID対応マスタ登録</v>
      </c>
      <c r="D533" s="103"/>
      <c r="E533" s="103"/>
      <c r="F533" s="103"/>
      <c r="G533" s="103"/>
      <c r="H533" s="103"/>
      <c r="I533" s="103"/>
      <c r="J533" s="103"/>
      <c r="K533" s="103"/>
      <c r="L533" s="103"/>
      <c r="M533" s="103"/>
      <c r="N533" s="103"/>
      <c r="O533" s="103"/>
      <c r="P533" s="103"/>
      <c r="Q533" s="103"/>
      <c r="R533" s="103"/>
      <c r="S533" s="103"/>
      <c r="T533" s="103"/>
      <c r="U533" s="104"/>
      <c r="W533" s="35" t="str">
        <f>"-- "&amp;C533</f>
        <v>-- バックアップ_施設ID対応マスタ登録</v>
      </c>
    </row>
    <row r="534" spans="2:23" ht="18.75" customHeight="1">
      <c r="B534" s="43" t="s">
        <v>159</v>
      </c>
      <c r="C534" s="105" t="str">
        <f>C536&amp;"テーブルのレコードを"&amp;R536&amp;"テーブルに格納する。"</f>
        <v>施設ID対応マスタテーブルのレコードをバックアップ_施設ID対応マスタテーブルに格納する。</v>
      </c>
      <c r="D534" s="106"/>
      <c r="E534" s="106"/>
      <c r="F534" s="106"/>
      <c r="G534" s="106"/>
      <c r="H534" s="106"/>
      <c r="I534" s="106"/>
      <c r="J534" s="106"/>
      <c r="K534" s="106"/>
      <c r="L534" s="106"/>
      <c r="M534" s="106"/>
      <c r="N534" s="106"/>
      <c r="O534" s="106"/>
      <c r="P534" s="106"/>
      <c r="Q534" s="106"/>
      <c r="R534" s="106"/>
      <c r="S534" s="106"/>
      <c r="T534" s="106"/>
      <c r="U534" s="107"/>
      <c r="W534" s="35" t="str">
        <f>"-- "&amp;C534</f>
        <v>-- 施設ID対応マスタテーブルのレコードをバックアップ_施設ID対応マスタテーブルに格納する。</v>
      </c>
    </row>
    <row r="536" spans="2:23" ht="18.75" customHeight="1">
      <c r="C536" s="96" t="s">
        <v>3632</v>
      </c>
      <c r="D536" s="97"/>
      <c r="E536" s="108" t="s">
        <v>162</v>
      </c>
      <c r="F536" s="36"/>
      <c r="G536" s="36"/>
      <c r="H536" s="36"/>
      <c r="I536" s="36"/>
      <c r="J536" s="36"/>
      <c r="K536" s="36"/>
      <c r="L536" s="36"/>
      <c r="M536" s="36"/>
      <c r="N536" s="36"/>
      <c r="O536" s="36"/>
      <c r="P536" s="36"/>
      <c r="Q536" s="36"/>
      <c r="R536" s="96" t="str">
        <f>"バックアップ_"&amp;SUBSTITUTE(C536,"_結合","")</f>
        <v>バックアップ_施設ID対応マスタ</v>
      </c>
      <c r="S536" s="97"/>
      <c r="T536" s="100" t="str">
        <f>エンティティ一覧!$O$2</f>
        <v>milscm_2023_010</v>
      </c>
    </row>
    <row r="537" spans="2:23" ht="18.75" customHeight="1">
      <c r="C537" s="98"/>
      <c r="D537" s="99"/>
      <c r="E537" s="109"/>
      <c r="F537" s="37"/>
      <c r="G537" s="37"/>
      <c r="H537" s="37"/>
      <c r="I537" s="37"/>
      <c r="J537" s="37"/>
      <c r="K537" s="37"/>
      <c r="L537" s="37"/>
      <c r="M537" s="37"/>
      <c r="N537" s="37"/>
      <c r="O537" s="37"/>
      <c r="P537" s="37"/>
      <c r="Q537" s="37"/>
      <c r="R537" s="98"/>
      <c r="S537" s="99"/>
      <c r="T537" s="101"/>
    </row>
    <row r="539" spans="2:23" ht="18.75" customHeight="1" thickBot="1">
      <c r="B539" s="42"/>
      <c r="C539" s="42"/>
      <c r="D539" s="42"/>
      <c r="E539" s="42"/>
      <c r="F539" s="42"/>
      <c r="G539" s="42"/>
      <c r="H539" s="42"/>
      <c r="I539" s="42"/>
      <c r="J539" s="42"/>
      <c r="K539" s="42"/>
      <c r="L539" s="42"/>
      <c r="M539" s="42"/>
      <c r="N539" s="42"/>
      <c r="O539" s="42"/>
      <c r="P539" s="42"/>
      <c r="Q539" s="42"/>
      <c r="R539" s="42"/>
      <c r="S539" s="42"/>
      <c r="T539" s="42"/>
      <c r="U539" s="42"/>
    </row>
    <row r="541" spans="2:23" ht="18.75" customHeight="1">
      <c r="B541" s="43" t="s">
        <v>163</v>
      </c>
      <c r="C541" s="51" t="s">
        <v>3633</v>
      </c>
      <c r="D541" s="90"/>
      <c r="W541" s="35" t="str">
        <f>"-- "&amp;B541&amp;" : "&amp;C541</f>
        <v>-- SQL_ID : 01_A4-07</v>
      </c>
    </row>
    <row r="542" spans="2:23" ht="18.75" customHeight="1">
      <c r="B542" s="43" t="s">
        <v>158</v>
      </c>
      <c r="C542" s="102" t="str">
        <f>R545&amp;"登録"</f>
        <v>バックアップ_医薬品関連マスタ登録</v>
      </c>
      <c r="D542" s="103"/>
      <c r="E542" s="103"/>
      <c r="F542" s="103"/>
      <c r="G542" s="103"/>
      <c r="H542" s="103"/>
      <c r="I542" s="103"/>
      <c r="J542" s="103"/>
      <c r="K542" s="103"/>
      <c r="L542" s="103"/>
      <c r="M542" s="103"/>
      <c r="N542" s="103"/>
      <c r="O542" s="103"/>
      <c r="P542" s="103"/>
      <c r="Q542" s="103"/>
      <c r="R542" s="103"/>
      <c r="S542" s="103"/>
      <c r="T542" s="103"/>
      <c r="U542" s="104"/>
      <c r="W542" s="35" t="str">
        <f>"-- "&amp;C542</f>
        <v>-- バックアップ_医薬品関連マスタ登録</v>
      </c>
    </row>
    <row r="543" spans="2:23" ht="18.75" customHeight="1">
      <c r="B543" s="43" t="s">
        <v>159</v>
      </c>
      <c r="C543" s="105" t="str">
        <f>C545&amp;"テーブルのレコードを"&amp;R545&amp;"テーブルに格納する。"</f>
        <v>医薬品関連マスタテーブルのレコードをバックアップ_医薬品関連マスタテーブルに格納する。</v>
      </c>
      <c r="D543" s="106"/>
      <c r="E543" s="106"/>
      <c r="F543" s="106"/>
      <c r="G543" s="106"/>
      <c r="H543" s="106"/>
      <c r="I543" s="106"/>
      <c r="J543" s="106"/>
      <c r="K543" s="106"/>
      <c r="L543" s="106"/>
      <c r="M543" s="106"/>
      <c r="N543" s="106"/>
      <c r="O543" s="106"/>
      <c r="P543" s="106"/>
      <c r="Q543" s="106"/>
      <c r="R543" s="106"/>
      <c r="S543" s="106"/>
      <c r="T543" s="106"/>
      <c r="U543" s="107"/>
      <c r="W543" s="35" t="str">
        <f>"-- "&amp;C543</f>
        <v>-- 医薬品関連マスタテーブルのレコードをバックアップ_医薬品関連マスタテーブルに格納する。</v>
      </c>
    </row>
    <row r="545" spans="2:23" ht="18.75" customHeight="1">
      <c r="C545" s="96" t="s">
        <v>3634</v>
      </c>
      <c r="D545" s="97"/>
      <c r="E545" s="108" t="s">
        <v>162</v>
      </c>
      <c r="F545" s="36"/>
      <c r="G545" s="36"/>
      <c r="H545" s="36"/>
      <c r="I545" s="36"/>
      <c r="J545" s="36"/>
      <c r="K545" s="36"/>
      <c r="L545" s="36"/>
      <c r="M545" s="36"/>
      <c r="N545" s="36"/>
      <c r="O545" s="36"/>
      <c r="P545" s="36"/>
      <c r="Q545" s="36"/>
      <c r="R545" s="96" t="str">
        <f>"バックアップ_"&amp;SUBSTITUTE(C545,"_結合","")</f>
        <v>バックアップ_医薬品関連マスタ</v>
      </c>
      <c r="S545" s="97"/>
      <c r="T545" s="100" t="str">
        <f>エンティティ一覧!$O$2</f>
        <v>milscm_2023_010</v>
      </c>
    </row>
    <row r="546" spans="2:23" ht="18.75" customHeight="1">
      <c r="C546" s="98"/>
      <c r="D546" s="99"/>
      <c r="E546" s="109"/>
      <c r="F546" s="37"/>
      <c r="G546" s="37"/>
      <c r="H546" s="37"/>
      <c r="I546" s="37"/>
      <c r="J546" s="37"/>
      <c r="K546" s="37"/>
      <c r="L546" s="37"/>
      <c r="M546" s="37"/>
      <c r="N546" s="37"/>
      <c r="O546" s="37"/>
      <c r="P546" s="37"/>
      <c r="Q546" s="37"/>
      <c r="R546" s="98"/>
      <c r="S546" s="99"/>
      <c r="T546" s="101"/>
    </row>
    <row r="548" spans="2:23" ht="18.75" customHeight="1" thickBot="1">
      <c r="B548" s="42"/>
      <c r="C548" s="42"/>
      <c r="D548" s="42"/>
      <c r="E548" s="42"/>
      <c r="F548" s="42"/>
      <c r="G548" s="42"/>
      <c r="H548" s="42"/>
      <c r="I548" s="42"/>
      <c r="J548" s="42"/>
      <c r="K548" s="42"/>
      <c r="L548" s="42"/>
      <c r="M548" s="42"/>
      <c r="N548" s="42"/>
      <c r="O548" s="42"/>
      <c r="P548" s="42"/>
      <c r="Q548" s="42"/>
      <c r="R548" s="42"/>
      <c r="S548" s="42"/>
      <c r="T548" s="42"/>
      <c r="U548" s="42"/>
    </row>
    <row r="550" spans="2:23" ht="18.75" customHeight="1">
      <c r="B550" s="43" t="s">
        <v>163</v>
      </c>
      <c r="C550" s="51" t="s">
        <v>3635</v>
      </c>
      <c r="D550" s="90"/>
      <c r="W550" s="35" t="str">
        <f>"-- "&amp;B550&amp;" : "&amp;C550</f>
        <v>-- SQL_ID : 01_A4-08</v>
      </c>
    </row>
    <row r="551" spans="2:23" ht="18.75" customHeight="1">
      <c r="B551" s="43" t="s">
        <v>158</v>
      </c>
      <c r="C551" s="102" t="str">
        <f>R554&amp;"登録"</f>
        <v>バックアップ_薬価関連マスタ登録</v>
      </c>
      <c r="D551" s="103"/>
      <c r="E551" s="103"/>
      <c r="F551" s="103"/>
      <c r="G551" s="103"/>
      <c r="H551" s="103"/>
      <c r="I551" s="103"/>
      <c r="J551" s="103"/>
      <c r="K551" s="103"/>
      <c r="L551" s="103"/>
      <c r="M551" s="103"/>
      <c r="N551" s="103"/>
      <c r="O551" s="103"/>
      <c r="P551" s="103"/>
      <c r="Q551" s="103"/>
      <c r="R551" s="103"/>
      <c r="S551" s="103"/>
      <c r="T551" s="103"/>
      <c r="U551" s="104"/>
      <c r="W551" s="35" t="str">
        <f>"-- "&amp;C551</f>
        <v>-- バックアップ_薬価関連マスタ登録</v>
      </c>
    </row>
    <row r="552" spans="2:23" ht="18.75" customHeight="1">
      <c r="B552" s="43" t="s">
        <v>159</v>
      </c>
      <c r="C552" s="105" t="str">
        <f>C554&amp;"テーブルのレコードを"&amp;R554&amp;"テーブルに格納する。"</f>
        <v>薬価関連マスタテーブルのレコードをバックアップ_薬価関連マスタテーブルに格納する。</v>
      </c>
      <c r="D552" s="106"/>
      <c r="E552" s="106"/>
      <c r="F552" s="106"/>
      <c r="G552" s="106"/>
      <c r="H552" s="106"/>
      <c r="I552" s="106"/>
      <c r="J552" s="106"/>
      <c r="K552" s="106"/>
      <c r="L552" s="106"/>
      <c r="M552" s="106"/>
      <c r="N552" s="106"/>
      <c r="O552" s="106"/>
      <c r="P552" s="106"/>
      <c r="Q552" s="106"/>
      <c r="R552" s="106"/>
      <c r="S552" s="106"/>
      <c r="T552" s="106"/>
      <c r="U552" s="107"/>
      <c r="W552" s="35" t="str">
        <f>"-- "&amp;C552</f>
        <v>-- 薬価関連マスタテーブルのレコードをバックアップ_薬価関連マスタテーブルに格納する。</v>
      </c>
    </row>
    <row r="554" spans="2:23" ht="18.75" customHeight="1">
      <c r="C554" s="96" t="s">
        <v>3636</v>
      </c>
      <c r="D554" s="97"/>
      <c r="E554" s="108" t="s">
        <v>162</v>
      </c>
      <c r="F554" s="36"/>
      <c r="G554" s="36"/>
      <c r="H554" s="36"/>
      <c r="I554" s="36"/>
      <c r="J554" s="36"/>
      <c r="K554" s="36"/>
      <c r="L554" s="36"/>
      <c r="M554" s="36"/>
      <c r="N554" s="36"/>
      <c r="O554" s="36"/>
      <c r="P554" s="36"/>
      <c r="Q554" s="36"/>
      <c r="R554" s="96" t="str">
        <f>"バックアップ_"&amp;SUBSTITUTE(C554,"_結合","")</f>
        <v>バックアップ_薬価関連マスタ</v>
      </c>
      <c r="S554" s="97"/>
      <c r="T554" s="100" t="str">
        <f>エンティティ一覧!$O$2</f>
        <v>milscm_2023_010</v>
      </c>
    </row>
    <row r="555" spans="2:23" ht="18.75" customHeight="1">
      <c r="C555" s="98"/>
      <c r="D555" s="99"/>
      <c r="E555" s="109"/>
      <c r="F555" s="37"/>
      <c r="G555" s="37"/>
      <c r="H555" s="37"/>
      <c r="I555" s="37"/>
      <c r="J555" s="37"/>
      <c r="K555" s="37"/>
      <c r="L555" s="37"/>
      <c r="M555" s="37"/>
      <c r="N555" s="37"/>
      <c r="O555" s="37"/>
      <c r="P555" s="37"/>
      <c r="Q555" s="37"/>
      <c r="R555" s="98"/>
      <c r="S555" s="99"/>
      <c r="T555" s="101"/>
    </row>
    <row r="557" spans="2:23" ht="18.75" customHeight="1" thickBot="1">
      <c r="B557" s="42"/>
      <c r="C557" s="42"/>
      <c r="D557" s="42"/>
      <c r="E557" s="42"/>
      <c r="F557" s="42"/>
      <c r="G557" s="42"/>
      <c r="H557" s="42"/>
      <c r="I557" s="42"/>
      <c r="J557" s="42"/>
      <c r="K557" s="42"/>
      <c r="L557" s="42"/>
      <c r="M557" s="42"/>
      <c r="N557" s="42"/>
      <c r="O557" s="42"/>
      <c r="P557" s="42"/>
      <c r="Q557" s="42"/>
      <c r="R557" s="42"/>
      <c r="S557" s="42"/>
      <c r="T557" s="42"/>
      <c r="U557" s="42"/>
    </row>
    <row r="559" spans="2:23" ht="18.75" customHeight="1">
      <c r="B559" s="43" t="s">
        <v>163</v>
      </c>
      <c r="C559" s="51" t="s">
        <v>3637</v>
      </c>
      <c r="D559" s="90"/>
      <c r="W559" s="35" t="str">
        <f>"-- "&amp;B559&amp;" : "&amp;C559</f>
        <v>-- SQL_ID : 01_A4-09</v>
      </c>
    </row>
    <row r="560" spans="2:23" ht="18.75" customHeight="1">
      <c r="B560" s="43" t="s">
        <v>158</v>
      </c>
      <c r="C560" s="102" t="str">
        <f>R563&amp;"登録"</f>
        <v>バックアップ_診療行為関連マスタ登録</v>
      </c>
      <c r="D560" s="103"/>
      <c r="E560" s="103"/>
      <c r="F560" s="103"/>
      <c r="G560" s="103"/>
      <c r="H560" s="103"/>
      <c r="I560" s="103"/>
      <c r="J560" s="103"/>
      <c r="K560" s="103"/>
      <c r="L560" s="103"/>
      <c r="M560" s="103"/>
      <c r="N560" s="103"/>
      <c r="O560" s="103"/>
      <c r="P560" s="103"/>
      <c r="Q560" s="103"/>
      <c r="R560" s="103"/>
      <c r="S560" s="103"/>
      <c r="T560" s="103"/>
      <c r="U560" s="104"/>
      <c r="W560" s="35" t="str">
        <f>"-- "&amp;C560</f>
        <v>-- バックアップ_診療行為関連マスタ登録</v>
      </c>
    </row>
    <row r="561" spans="2:23" ht="18.75" customHeight="1">
      <c r="B561" s="43" t="s">
        <v>159</v>
      </c>
      <c r="C561" s="105" t="str">
        <f>C563&amp;"テーブルのレコードを"&amp;R563&amp;"テーブルに格納する。"</f>
        <v>診療行為関連マスタテーブルのレコードをバックアップ_診療行為関連マスタテーブルに格納する。</v>
      </c>
      <c r="D561" s="106"/>
      <c r="E561" s="106"/>
      <c r="F561" s="106"/>
      <c r="G561" s="106"/>
      <c r="H561" s="106"/>
      <c r="I561" s="106"/>
      <c r="J561" s="106"/>
      <c r="K561" s="106"/>
      <c r="L561" s="106"/>
      <c r="M561" s="106"/>
      <c r="N561" s="106"/>
      <c r="O561" s="106"/>
      <c r="P561" s="106"/>
      <c r="Q561" s="106"/>
      <c r="R561" s="106"/>
      <c r="S561" s="106"/>
      <c r="T561" s="106"/>
      <c r="U561" s="107"/>
      <c r="W561" s="35" t="str">
        <f>"-- "&amp;C561</f>
        <v>-- 診療行為関連マスタテーブルのレコードをバックアップ_診療行為関連マスタテーブルに格納する。</v>
      </c>
    </row>
    <row r="563" spans="2:23" ht="18.75" customHeight="1">
      <c r="C563" s="96" t="s">
        <v>3638</v>
      </c>
      <c r="D563" s="97"/>
      <c r="E563" s="108" t="s">
        <v>162</v>
      </c>
      <c r="F563" s="36"/>
      <c r="G563" s="36"/>
      <c r="H563" s="36"/>
      <c r="I563" s="36"/>
      <c r="J563" s="36"/>
      <c r="K563" s="36"/>
      <c r="L563" s="36"/>
      <c r="M563" s="36"/>
      <c r="N563" s="36"/>
      <c r="O563" s="36"/>
      <c r="P563" s="36"/>
      <c r="Q563" s="36"/>
      <c r="R563" s="96" t="str">
        <f>"バックアップ_"&amp;SUBSTITUTE(C563,"_結合","")</f>
        <v>バックアップ_診療行為関連マスタ</v>
      </c>
      <c r="S563" s="97"/>
      <c r="T563" s="100" t="str">
        <f>エンティティ一覧!$O$2</f>
        <v>milscm_2023_010</v>
      </c>
    </row>
    <row r="564" spans="2:23" ht="18.75" customHeight="1">
      <c r="C564" s="98"/>
      <c r="D564" s="99"/>
      <c r="E564" s="109"/>
      <c r="F564" s="37"/>
      <c r="G564" s="37"/>
      <c r="H564" s="37"/>
      <c r="I564" s="37"/>
      <c r="J564" s="37"/>
      <c r="K564" s="37"/>
      <c r="L564" s="37"/>
      <c r="M564" s="37"/>
      <c r="N564" s="37"/>
      <c r="O564" s="37"/>
      <c r="P564" s="37"/>
      <c r="Q564" s="37"/>
      <c r="R564" s="98"/>
      <c r="S564" s="99"/>
      <c r="T564" s="101"/>
    </row>
    <row r="566" spans="2:23" ht="18.75" customHeight="1" thickBot="1">
      <c r="B566" s="42"/>
      <c r="C566" s="42"/>
      <c r="D566" s="42"/>
      <c r="E566" s="42"/>
      <c r="F566" s="42"/>
      <c r="G566" s="42"/>
      <c r="H566" s="42"/>
      <c r="I566" s="42"/>
      <c r="J566" s="42"/>
      <c r="K566" s="42"/>
      <c r="L566" s="42"/>
      <c r="M566" s="42"/>
      <c r="N566" s="42"/>
      <c r="O566" s="42"/>
      <c r="P566" s="42"/>
      <c r="Q566" s="42"/>
      <c r="R566" s="42"/>
      <c r="S566" s="42"/>
      <c r="T566" s="42"/>
      <c r="U566" s="42"/>
    </row>
    <row r="568" spans="2:23" ht="18.75" customHeight="1">
      <c r="B568" s="43" t="s">
        <v>163</v>
      </c>
      <c r="C568" s="51" t="s">
        <v>3639</v>
      </c>
      <c r="D568" s="90"/>
      <c r="W568" s="35" t="str">
        <f>"-- "&amp;B568&amp;" : "&amp;C568</f>
        <v>-- SQL_ID : 01_A4-10</v>
      </c>
    </row>
    <row r="569" spans="2:23" ht="18.75" customHeight="1">
      <c r="B569" s="43" t="s">
        <v>158</v>
      </c>
      <c r="C569" s="102" t="str">
        <f>R572&amp;"登録"</f>
        <v>バックアップ_特定器材関連マスタ登録</v>
      </c>
      <c r="D569" s="103"/>
      <c r="E569" s="103"/>
      <c r="F569" s="103"/>
      <c r="G569" s="103"/>
      <c r="H569" s="103"/>
      <c r="I569" s="103"/>
      <c r="J569" s="103"/>
      <c r="K569" s="103"/>
      <c r="L569" s="103"/>
      <c r="M569" s="103"/>
      <c r="N569" s="103"/>
      <c r="O569" s="103"/>
      <c r="P569" s="103"/>
      <c r="Q569" s="103"/>
      <c r="R569" s="103"/>
      <c r="S569" s="103"/>
      <c r="T569" s="103"/>
      <c r="U569" s="104"/>
      <c r="W569" s="35" t="str">
        <f>"-- "&amp;C569</f>
        <v>-- バックアップ_特定器材関連マスタ登録</v>
      </c>
    </row>
    <row r="570" spans="2:23" ht="18.75" customHeight="1">
      <c r="B570" s="43" t="s">
        <v>159</v>
      </c>
      <c r="C570" s="105" t="str">
        <f>C572&amp;"テーブルのレコードを"&amp;R572&amp;"テーブルに格納する。"</f>
        <v>特定器材関連マスタテーブルのレコードをバックアップ_特定器材関連マスタテーブルに格納する。</v>
      </c>
      <c r="D570" s="106"/>
      <c r="E570" s="106"/>
      <c r="F570" s="106"/>
      <c r="G570" s="106"/>
      <c r="H570" s="106"/>
      <c r="I570" s="106"/>
      <c r="J570" s="106"/>
      <c r="K570" s="106"/>
      <c r="L570" s="106"/>
      <c r="M570" s="106"/>
      <c r="N570" s="106"/>
      <c r="O570" s="106"/>
      <c r="P570" s="106"/>
      <c r="Q570" s="106"/>
      <c r="R570" s="106"/>
      <c r="S570" s="106"/>
      <c r="T570" s="106"/>
      <c r="U570" s="107"/>
      <c r="W570" s="35" t="str">
        <f>"-- "&amp;C570</f>
        <v>-- 特定器材関連マスタテーブルのレコードをバックアップ_特定器材関連マスタテーブルに格納する。</v>
      </c>
    </row>
    <row r="572" spans="2:23" ht="18.75" customHeight="1">
      <c r="C572" s="96" t="s">
        <v>3640</v>
      </c>
      <c r="D572" s="97"/>
      <c r="E572" s="108" t="s">
        <v>162</v>
      </c>
      <c r="F572" s="36"/>
      <c r="G572" s="36"/>
      <c r="H572" s="36"/>
      <c r="I572" s="36"/>
      <c r="J572" s="36"/>
      <c r="K572" s="36"/>
      <c r="L572" s="36"/>
      <c r="M572" s="36"/>
      <c r="N572" s="36"/>
      <c r="O572" s="36"/>
      <c r="P572" s="36"/>
      <c r="Q572" s="36"/>
      <c r="R572" s="96" t="str">
        <f>"バックアップ_"&amp;SUBSTITUTE(C572,"_結合","")</f>
        <v>バックアップ_特定器材関連マスタ</v>
      </c>
      <c r="S572" s="97"/>
      <c r="T572" s="100" t="str">
        <f>エンティティ一覧!$O$2</f>
        <v>milscm_2023_010</v>
      </c>
    </row>
    <row r="573" spans="2:23" ht="18.75" customHeight="1">
      <c r="C573" s="98"/>
      <c r="D573" s="99"/>
      <c r="E573" s="109"/>
      <c r="F573" s="37"/>
      <c r="G573" s="37"/>
      <c r="H573" s="37"/>
      <c r="I573" s="37"/>
      <c r="J573" s="37"/>
      <c r="K573" s="37"/>
      <c r="L573" s="37"/>
      <c r="M573" s="37"/>
      <c r="N573" s="37"/>
      <c r="O573" s="37"/>
      <c r="P573" s="37"/>
      <c r="Q573" s="37"/>
      <c r="R573" s="98"/>
      <c r="S573" s="99"/>
      <c r="T573" s="101"/>
    </row>
    <row r="575" spans="2:23" ht="18.75" customHeight="1" thickBot="1">
      <c r="B575" s="42"/>
      <c r="C575" s="42"/>
      <c r="D575" s="42"/>
      <c r="E575" s="42"/>
      <c r="F575" s="42"/>
      <c r="G575" s="42"/>
      <c r="H575" s="42"/>
      <c r="I575" s="42"/>
      <c r="J575" s="42"/>
      <c r="K575" s="42"/>
      <c r="L575" s="42"/>
      <c r="M575" s="42"/>
      <c r="N575" s="42"/>
      <c r="O575" s="42"/>
      <c r="P575" s="42"/>
      <c r="Q575" s="42"/>
      <c r="R575" s="42"/>
      <c r="S575" s="42"/>
      <c r="T575" s="42"/>
      <c r="U575" s="42"/>
    </row>
    <row r="577" spans="2:23" ht="18.75" customHeight="1">
      <c r="B577" s="43" t="s">
        <v>163</v>
      </c>
      <c r="C577" s="51" t="s">
        <v>3641</v>
      </c>
      <c r="D577" s="90"/>
      <c r="W577" s="35" t="str">
        <f>"-- "&amp;B577&amp;" : "&amp;C577</f>
        <v>-- SQL_ID : 01_A4-11</v>
      </c>
    </row>
    <row r="578" spans="2:23" ht="18.75" customHeight="1">
      <c r="B578" s="43" t="s">
        <v>158</v>
      </c>
      <c r="C578" s="102" t="str">
        <f>R581&amp;"登録"</f>
        <v>バックアップ_DPC関連マスタ登録</v>
      </c>
      <c r="D578" s="103"/>
      <c r="E578" s="103"/>
      <c r="F578" s="103"/>
      <c r="G578" s="103"/>
      <c r="H578" s="103"/>
      <c r="I578" s="103"/>
      <c r="J578" s="103"/>
      <c r="K578" s="103"/>
      <c r="L578" s="103"/>
      <c r="M578" s="103"/>
      <c r="N578" s="103"/>
      <c r="O578" s="103"/>
      <c r="P578" s="103"/>
      <c r="Q578" s="103"/>
      <c r="R578" s="103"/>
      <c r="S578" s="103"/>
      <c r="T578" s="103"/>
      <c r="U578" s="104"/>
      <c r="W578" s="35" t="str">
        <f>"-- "&amp;C578</f>
        <v>-- バックアップ_DPC関連マスタ登録</v>
      </c>
    </row>
    <row r="579" spans="2:23" ht="18.75" customHeight="1">
      <c r="B579" s="43" t="s">
        <v>159</v>
      </c>
      <c r="C579" s="105" t="str">
        <f>C581&amp;"テーブルのレコードを"&amp;R581&amp;"テーブルに格納する。"</f>
        <v>DPC関連マスタテーブルのレコードをバックアップ_DPC関連マスタテーブルに格納する。</v>
      </c>
      <c r="D579" s="106"/>
      <c r="E579" s="106"/>
      <c r="F579" s="106"/>
      <c r="G579" s="106"/>
      <c r="H579" s="106"/>
      <c r="I579" s="106"/>
      <c r="J579" s="106"/>
      <c r="K579" s="106"/>
      <c r="L579" s="106"/>
      <c r="M579" s="106"/>
      <c r="N579" s="106"/>
      <c r="O579" s="106"/>
      <c r="P579" s="106"/>
      <c r="Q579" s="106"/>
      <c r="R579" s="106"/>
      <c r="S579" s="106"/>
      <c r="T579" s="106"/>
      <c r="U579" s="107"/>
      <c r="W579" s="35" t="str">
        <f>"-- "&amp;C579</f>
        <v>-- DPC関連マスタテーブルのレコードをバックアップ_DPC関連マスタテーブルに格納する。</v>
      </c>
    </row>
    <row r="581" spans="2:23" ht="18.75" customHeight="1">
      <c r="C581" s="96" t="s">
        <v>3642</v>
      </c>
      <c r="D581" s="97"/>
      <c r="E581" s="108" t="s">
        <v>162</v>
      </c>
      <c r="F581" s="36"/>
      <c r="G581" s="36"/>
      <c r="H581" s="36"/>
      <c r="I581" s="36"/>
      <c r="J581" s="36"/>
      <c r="K581" s="36"/>
      <c r="L581" s="36"/>
      <c r="M581" s="36"/>
      <c r="N581" s="36"/>
      <c r="O581" s="36"/>
      <c r="P581" s="36"/>
      <c r="Q581" s="36"/>
      <c r="R581" s="96" t="str">
        <f>"バックアップ_"&amp;SUBSTITUTE(C581,"_結合","")</f>
        <v>バックアップ_DPC関連マスタ</v>
      </c>
      <c r="S581" s="97"/>
      <c r="T581" s="100" t="str">
        <f>エンティティ一覧!$O$2</f>
        <v>milscm_2023_010</v>
      </c>
    </row>
    <row r="582" spans="2:23" ht="18.75" customHeight="1">
      <c r="C582" s="98"/>
      <c r="D582" s="99"/>
      <c r="E582" s="109"/>
      <c r="F582" s="37"/>
      <c r="G582" s="37"/>
      <c r="H582" s="37"/>
      <c r="I582" s="37"/>
      <c r="J582" s="37"/>
      <c r="K582" s="37"/>
      <c r="L582" s="37"/>
      <c r="M582" s="37"/>
      <c r="N582" s="37"/>
      <c r="O582" s="37"/>
      <c r="P582" s="37"/>
      <c r="Q582" s="37"/>
      <c r="R582" s="98"/>
      <c r="S582" s="99"/>
      <c r="T582" s="101"/>
    </row>
    <row r="584" spans="2:23" ht="18.75" customHeight="1" thickBot="1">
      <c r="B584" s="42"/>
      <c r="C584" s="42"/>
      <c r="D584" s="42"/>
      <c r="E584" s="42"/>
      <c r="F584" s="42"/>
      <c r="G584" s="42"/>
      <c r="H584" s="42"/>
      <c r="I584" s="42"/>
      <c r="J584" s="42"/>
      <c r="K584" s="42"/>
      <c r="L584" s="42"/>
      <c r="M584" s="42"/>
      <c r="N584" s="42"/>
      <c r="O584" s="42"/>
      <c r="P584" s="42"/>
      <c r="Q584" s="42"/>
      <c r="R584" s="42"/>
      <c r="S584" s="42"/>
      <c r="T584" s="42"/>
      <c r="U584" s="42"/>
    </row>
    <row r="586" spans="2:23" ht="18.75" customHeight="1">
      <c r="B586" s="43" t="s">
        <v>163</v>
      </c>
      <c r="C586" s="51" t="s">
        <v>3643</v>
      </c>
      <c r="D586" s="90"/>
      <c r="W586" s="35" t="str">
        <f>"-- "&amp;B586&amp;" : "&amp;C586</f>
        <v>-- SQL_ID : 01_A4-12</v>
      </c>
    </row>
    <row r="587" spans="2:23" ht="18.75" customHeight="1">
      <c r="B587" s="43" t="s">
        <v>158</v>
      </c>
      <c r="C587" s="102" t="str">
        <f>R590&amp;"登録"</f>
        <v>バックアップ_疾患関連マスタ登録</v>
      </c>
      <c r="D587" s="103"/>
      <c r="E587" s="103"/>
      <c r="F587" s="103"/>
      <c r="G587" s="103"/>
      <c r="H587" s="103"/>
      <c r="I587" s="103"/>
      <c r="J587" s="103"/>
      <c r="K587" s="103"/>
      <c r="L587" s="103"/>
      <c r="M587" s="103"/>
      <c r="N587" s="103"/>
      <c r="O587" s="103"/>
      <c r="P587" s="103"/>
      <c r="Q587" s="103"/>
      <c r="R587" s="103"/>
      <c r="S587" s="103"/>
      <c r="T587" s="103"/>
      <c r="U587" s="104"/>
      <c r="W587" s="35" t="str">
        <f>"-- "&amp;C587</f>
        <v>-- バックアップ_疾患関連マスタ登録</v>
      </c>
    </row>
    <row r="588" spans="2:23" ht="18.75" customHeight="1">
      <c r="B588" s="43" t="s">
        <v>159</v>
      </c>
      <c r="C588" s="105" t="str">
        <f>C590&amp;"テーブルのレコードを"&amp;R590&amp;"テーブルに格納する。"</f>
        <v>疾患関連マスタテーブルのレコードをバックアップ_疾患関連マスタテーブルに格納する。</v>
      </c>
      <c r="D588" s="106"/>
      <c r="E588" s="106"/>
      <c r="F588" s="106"/>
      <c r="G588" s="106"/>
      <c r="H588" s="106"/>
      <c r="I588" s="106"/>
      <c r="J588" s="106"/>
      <c r="K588" s="106"/>
      <c r="L588" s="106"/>
      <c r="M588" s="106"/>
      <c r="N588" s="106"/>
      <c r="O588" s="106"/>
      <c r="P588" s="106"/>
      <c r="Q588" s="106"/>
      <c r="R588" s="106"/>
      <c r="S588" s="106"/>
      <c r="T588" s="106"/>
      <c r="U588" s="107"/>
      <c r="W588" s="35" t="str">
        <f>"-- "&amp;C588</f>
        <v>-- 疾患関連マスタテーブルのレコードをバックアップ_疾患関連マスタテーブルに格納する。</v>
      </c>
    </row>
    <row r="590" spans="2:23" ht="18.75" customHeight="1">
      <c r="C590" s="96" t="s">
        <v>3644</v>
      </c>
      <c r="D590" s="97"/>
      <c r="E590" s="108" t="s">
        <v>162</v>
      </c>
      <c r="F590" s="36"/>
      <c r="G590" s="36"/>
      <c r="H590" s="36"/>
      <c r="I590" s="36"/>
      <c r="J590" s="36"/>
      <c r="K590" s="36"/>
      <c r="L590" s="36"/>
      <c r="M590" s="36"/>
      <c r="N590" s="36"/>
      <c r="O590" s="36"/>
      <c r="P590" s="36"/>
      <c r="Q590" s="36"/>
      <c r="R590" s="96" t="str">
        <f>"バックアップ_"&amp;SUBSTITUTE(C590,"_結合","")</f>
        <v>バックアップ_疾患関連マスタ</v>
      </c>
      <c r="S590" s="97"/>
      <c r="T590" s="100" t="str">
        <f>エンティティ一覧!$O$2</f>
        <v>milscm_2023_010</v>
      </c>
    </row>
    <row r="591" spans="2:23" ht="18.75" customHeight="1">
      <c r="C591" s="98"/>
      <c r="D591" s="99"/>
      <c r="E591" s="109"/>
      <c r="F591" s="37"/>
      <c r="G591" s="37"/>
      <c r="H591" s="37"/>
      <c r="I591" s="37"/>
      <c r="J591" s="37"/>
      <c r="K591" s="37"/>
      <c r="L591" s="37"/>
      <c r="M591" s="37"/>
      <c r="N591" s="37"/>
      <c r="O591" s="37"/>
      <c r="P591" s="37"/>
      <c r="Q591" s="37"/>
      <c r="R591" s="98"/>
      <c r="S591" s="99"/>
      <c r="T591" s="101"/>
    </row>
    <row r="593" spans="2:23" ht="18.75" customHeight="1" thickBot="1">
      <c r="B593" s="42"/>
      <c r="C593" s="42"/>
      <c r="D593" s="42"/>
      <c r="E593" s="42"/>
      <c r="F593" s="42"/>
      <c r="G593" s="42"/>
      <c r="H593" s="42"/>
      <c r="I593" s="42"/>
      <c r="J593" s="42"/>
      <c r="K593" s="42"/>
      <c r="L593" s="42"/>
      <c r="M593" s="42"/>
      <c r="N593" s="42"/>
      <c r="O593" s="42"/>
      <c r="P593" s="42"/>
      <c r="Q593" s="42"/>
      <c r="R593" s="42"/>
      <c r="S593" s="42"/>
      <c r="T593" s="42"/>
      <c r="U593" s="42"/>
    </row>
    <row r="595" spans="2:23" ht="18.75" customHeight="1">
      <c r="B595" s="43" t="s">
        <v>163</v>
      </c>
      <c r="C595" s="51" t="s">
        <v>3645</v>
      </c>
      <c r="D595" s="90"/>
      <c r="W595" s="35" t="str">
        <f>"-- "&amp;B595&amp;" : "&amp;C595</f>
        <v>-- SQL_ID : 01_A4-13</v>
      </c>
    </row>
    <row r="596" spans="2:23" ht="18.75" customHeight="1">
      <c r="B596" s="43" t="s">
        <v>158</v>
      </c>
      <c r="C596" s="102" t="str">
        <f>R599&amp;"登録"</f>
        <v>バックアップ_医薬品成分関連マスタ登録</v>
      </c>
      <c r="D596" s="103"/>
      <c r="E596" s="103"/>
      <c r="F596" s="103"/>
      <c r="G596" s="103"/>
      <c r="H596" s="103"/>
      <c r="I596" s="103"/>
      <c r="J596" s="103"/>
      <c r="K596" s="103"/>
      <c r="L596" s="103"/>
      <c r="M596" s="103"/>
      <c r="N596" s="103"/>
      <c r="O596" s="103"/>
      <c r="P596" s="103"/>
      <c r="Q596" s="103"/>
      <c r="R596" s="103"/>
      <c r="S596" s="103"/>
      <c r="T596" s="103"/>
      <c r="U596" s="104"/>
      <c r="W596" s="35" t="str">
        <f>"-- "&amp;C596</f>
        <v>-- バックアップ_医薬品成分関連マスタ登録</v>
      </c>
    </row>
    <row r="597" spans="2:23" ht="18.75" customHeight="1">
      <c r="B597" s="43" t="s">
        <v>159</v>
      </c>
      <c r="C597" s="105" t="str">
        <f>C599&amp;"テーブルのレコードを"&amp;R599&amp;"テーブルに格納する。"</f>
        <v>医薬品成分関連マスタテーブルのレコードをバックアップ_医薬品成分関連マスタテーブルに格納する。</v>
      </c>
      <c r="D597" s="106"/>
      <c r="E597" s="106"/>
      <c r="F597" s="106"/>
      <c r="G597" s="106"/>
      <c r="H597" s="106"/>
      <c r="I597" s="106"/>
      <c r="J597" s="106"/>
      <c r="K597" s="106"/>
      <c r="L597" s="106"/>
      <c r="M597" s="106"/>
      <c r="N597" s="106"/>
      <c r="O597" s="106"/>
      <c r="P597" s="106"/>
      <c r="Q597" s="106"/>
      <c r="R597" s="106"/>
      <c r="S597" s="106"/>
      <c r="T597" s="106"/>
      <c r="U597" s="107"/>
      <c r="W597" s="35" t="str">
        <f>"-- "&amp;C597</f>
        <v>-- 医薬品成分関連マスタテーブルのレコードをバックアップ_医薬品成分関連マスタテーブルに格納する。</v>
      </c>
    </row>
    <row r="599" spans="2:23" ht="18.75" customHeight="1">
      <c r="C599" s="96" t="s">
        <v>3646</v>
      </c>
      <c r="D599" s="97"/>
      <c r="E599" s="108" t="s">
        <v>162</v>
      </c>
      <c r="F599" s="36"/>
      <c r="G599" s="36"/>
      <c r="H599" s="36"/>
      <c r="I599" s="36"/>
      <c r="J599" s="36"/>
      <c r="K599" s="36"/>
      <c r="L599" s="36"/>
      <c r="M599" s="36"/>
      <c r="N599" s="36"/>
      <c r="O599" s="36"/>
      <c r="P599" s="36"/>
      <c r="Q599" s="36"/>
      <c r="R599" s="96" t="str">
        <f>"バックアップ_"&amp;SUBSTITUTE(C599,"_結合","")</f>
        <v>バックアップ_医薬品成分関連マスタ</v>
      </c>
      <c r="S599" s="97"/>
      <c r="T599" s="100" t="str">
        <f>エンティティ一覧!$O$2</f>
        <v>milscm_2023_010</v>
      </c>
    </row>
    <row r="600" spans="2:23" ht="18.75" customHeight="1">
      <c r="C600" s="98"/>
      <c r="D600" s="99"/>
      <c r="E600" s="109"/>
      <c r="F600" s="37"/>
      <c r="G600" s="37"/>
      <c r="H600" s="37"/>
      <c r="I600" s="37"/>
      <c r="J600" s="37"/>
      <c r="K600" s="37"/>
      <c r="L600" s="37"/>
      <c r="M600" s="37"/>
      <c r="N600" s="37"/>
      <c r="O600" s="37"/>
      <c r="P600" s="37"/>
      <c r="Q600" s="37"/>
      <c r="R600" s="98"/>
      <c r="S600" s="99"/>
      <c r="T600" s="101"/>
    </row>
    <row r="602" spans="2:23" ht="18.75" customHeight="1" thickBot="1">
      <c r="B602" s="42"/>
      <c r="C602" s="42"/>
      <c r="D602" s="42"/>
      <c r="E602" s="42"/>
      <c r="F602" s="42"/>
      <c r="G602" s="42"/>
      <c r="H602" s="42"/>
      <c r="I602" s="42"/>
      <c r="J602" s="42"/>
      <c r="K602" s="42"/>
      <c r="L602" s="42"/>
      <c r="M602" s="42"/>
      <c r="N602" s="42"/>
      <c r="O602" s="42"/>
      <c r="P602" s="42"/>
      <c r="Q602" s="42"/>
      <c r="R602" s="42"/>
      <c r="S602" s="42"/>
      <c r="T602" s="42"/>
      <c r="U602" s="42"/>
    </row>
    <row r="604" spans="2:23" ht="18.75" customHeight="1">
      <c r="B604" s="43" t="s">
        <v>163</v>
      </c>
      <c r="C604" s="51" t="s">
        <v>3647</v>
      </c>
      <c r="D604" s="90"/>
      <c r="W604" s="35" t="str">
        <f>"-- "&amp;B604&amp;" : "&amp;C604</f>
        <v>-- SQL_ID : 01_A4-14</v>
      </c>
    </row>
    <row r="605" spans="2:23" ht="18.75" customHeight="1">
      <c r="B605" s="43" t="s">
        <v>158</v>
      </c>
      <c r="C605" s="102" t="str">
        <f>R608&amp;"登録"</f>
        <v>バックアップ_医薬品適用病名関連マスタ登録</v>
      </c>
      <c r="D605" s="103"/>
      <c r="E605" s="103"/>
      <c r="F605" s="103"/>
      <c r="G605" s="103"/>
      <c r="H605" s="103"/>
      <c r="I605" s="103"/>
      <c r="J605" s="103"/>
      <c r="K605" s="103"/>
      <c r="L605" s="103"/>
      <c r="M605" s="103"/>
      <c r="N605" s="103"/>
      <c r="O605" s="103"/>
      <c r="P605" s="103"/>
      <c r="Q605" s="103"/>
      <c r="R605" s="103"/>
      <c r="S605" s="103"/>
      <c r="T605" s="103"/>
      <c r="U605" s="104"/>
      <c r="W605" s="35" t="str">
        <f>"-- "&amp;C605</f>
        <v>-- バックアップ_医薬品適用病名関連マスタ登録</v>
      </c>
    </row>
    <row r="606" spans="2:23" ht="18.75" customHeight="1">
      <c r="B606" s="43" t="s">
        <v>159</v>
      </c>
      <c r="C606" s="105" t="str">
        <f>C608&amp;"テーブルのレコードを"&amp;R608&amp;"テーブルに格納する。"</f>
        <v>医薬品適用病名関連マスタテーブルのレコードをバックアップ_医薬品適用病名関連マスタテーブルに格納する。</v>
      </c>
      <c r="D606" s="106"/>
      <c r="E606" s="106"/>
      <c r="F606" s="106"/>
      <c r="G606" s="106"/>
      <c r="H606" s="106"/>
      <c r="I606" s="106"/>
      <c r="J606" s="106"/>
      <c r="K606" s="106"/>
      <c r="L606" s="106"/>
      <c r="M606" s="106"/>
      <c r="N606" s="106"/>
      <c r="O606" s="106"/>
      <c r="P606" s="106"/>
      <c r="Q606" s="106"/>
      <c r="R606" s="106"/>
      <c r="S606" s="106"/>
      <c r="T606" s="106"/>
      <c r="U606" s="107"/>
      <c r="W606" s="35" t="str">
        <f>"-- "&amp;C606</f>
        <v>-- 医薬品適用病名関連マスタテーブルのレコードをバックアップ_医薬品適用病名関連マスタテーブルに格納する。</v>
      </c>
    </row>
    <row r="608" spans="2:23" ht="18.75" customHeight="1">
      <c r="C608" s="96" t="s">
        <v>3648</v>
      </c>
      <c r="D608" s="97"/>
      <c r="E608" s="108" t="s">
        <v>162</v>
      </c>
      <c r="F608" s="36"/>
      <c r="G608" s="36"/>
      <c r="H608" s="36"/>
      <c r="I608" s="36"/>
      <c r="J608" s="36"/>
      <c r="K608" s="36"/>
      <c r="L608" s="36"/>
      <c r="M608" s="36"/>
      <c r="N608" s="36"/>
      <c r="O608" s="36"/>
      <c r="P608" s="36"/>
      <c r="Q608" s="36"/>
      <c r="R608" s="96" t="str">
        <f>"バックアップ_"&amp;SUBSTITUTE(C608,"_結合","")</f>
        <v>バックアップ_医薬品適用病名関連マスタ</v>
      </c>
      <c r="S608" s="97"/>
      <c r="T608" s="100" t="str">
        <f>エンティティ一覧!$O$2</f>
        <v>milscm_2023_010</v>
      </c>
    </row>
    <row r="609" spans="2:23" ht="18.75" customHeight="1">
      <c r="C609" s="98"/>
      <c r="D609" s="99"/>
      <c r="E609" s="109"/>
      <c r="F609" s="37"/>
      <c r="G609" s="37"/>
      <c r="H609" s="37"/>
      <c r="I609" s="37"/>
      <c r="J609" s="37"/>
      <c r="K609" s="37"/>
      <c r="L609" s="37"/>
      <c r="M609" s="37"/>
      <c r="N609" s="37"/>
      <c r="O609" s="37"/>
      <c r="P609" s="37"/>
      <c r="Q609" s="37"/>
      <c r="R609" s="98"/>
      <c r="S609" s="99"/>
      <c r="T609" s="101"/>
    </row>
    <row r="611" spans="2:23" ht="18.75" customHeight="1" thickBot="1">
      <c r="B611" s="42"/>
      <c r="C611" s="42"/>
      <c r="D611" s="42"/>
      <c r="E611" s="42"/>
      <c r="F611" s="42"/>
      <c r="G611" s="42"/>
      <c r="H611" s="42"/>
      <c r="I611" s="42"/>
      <c r="J611" s="42"/>
      <c r="K611" s="42"/>
      <c r="L611" s="42"/>
      <c r="M611" s="42"/>
      <c r="N611" s="42"/>
      <c r="O611" s="42"/>
      <c r="P611" s="42"/>
      <c r="Q611" s="42"/>
      <c r="R611" s="42"/>
      <c r="S611" s="42"/>
      <c r="T611" s="42"/>
      <c r="U611" s="42"/>
    </row>
    <row r="613" spans="2:23" ht="18.75" customHeight="1">
      <c r="B613" s="43" t="s">
        <v>163</v>
      </c>
      <c r="C613" s="51" t="s">
        <v>3649</v>
      </c>
      <c r="D613" s="90"/>
      <c r="W613" s="35" t="str">
        <f>"-- "&amp;B613&amp;" : "&amp;C613</f>
        <v>-- SQL_ID : 01_A6-02</v>
      </c>
    </row>
    <row r="614" spans="2:23" ht="18.75" customHeight="1">
      <c r="B614" s="43" t="s">
        <v>158</v>
      </c>
      <c r="C614" s="102" t="str">
        <f>R617&amp;"登録"</f>
        <v>バックアップ_MML共通登録</v>
      </c>
      <c r="D614" s="103"/>
      <c r="E614" s="103"/>
      <c r="F614" s="103"/>
      <c r="G614" s="103"/>
      <c r="H614" s="103"/>
      <c r="I614" s="103"/>
      <c r="J614" s="103"/>
      <c r="K614" s="103"/>
      <c r="L614" s="103"/>
      <c r="M614" s="103"/>
      <c r="N614" s="103"/>
      <c r="O614" s="103"/>
      <c r="P614" s="103"/>
      <c r="Q614" s="103"/>
      <c r="R614" s="103"/>
      <c r="S614" s="103"/>
      <c r="T614" s="103"/>
      <c r="U614" s="104"/>
      <c r="W614" s="35" t="str">
        <f>"-- "&amp;C614</f>
        <v>-- バックアップ_MML共通登録</v>
      </c>
    </row>
    <row r="615" spans="2:23" ht="18.75" customHeight="1">
      <c r="B615" s="43" t="s">
        <v>159</v>
      </c>
      <c r="C615" s="105" t="str">
        <f>C617&amp;"テーブルから組入れ条件の第一条件で絞り込んだ結果を"&amp;R617&amp;"テーブルに格納する。"</f>
        <v>MML共通テーブルから組入れ条件の第一条件で絞り込んだ結果をバックアップ_MML共通テーブルに格納する。</v>
      </c>
      <c r="D615" s="106"/>
      <c r="E615" s="106"/>
      <c r="F615" s="106"/>
      <c r="G615" s="106"/>
      <c r="H615" s="106"/>
      <c r="I615" s="106"/>
      <c r="J615" s="106"/>
      <c r="K615" s="106"/>
      <c r="L615" s="106"/>
      <c r="M615" s="106"/>
      <c r="N615" s="106"/>
      <c r="O615" s="106"/>
      <c r="P615" s="106"/>
      <c r="Q615" s="106"/>
      <c r="R615" s="106"/>
      <c r="S615" s="106"/>
      <c r="T615" s="106"/>
      <c r="U615" s="107"/>
      <c r="W615" s="35" t="str">
        <f>"-- "&amp;C615</f>
        <v>-- MML共通テーブルから組入れ条件の第一条件で絞り込んだ結果をバックアップ_MML共通テーブルに格納する。</v>
      </c>
    </row>
    <row r="617" spans="2:23" ht="18.75" customHeight="1">
      <c r="C617" s="96" t="s">
        <v>3650</v>
      </c>
      <c r="D617" s="97"/>
      <c r="E617" s="108" t="s">
        <v>162</v>
      </c>
      <c r="F617" s="36"/>
      <c r="G617" s="36"/>
      <c r="H617" s="36"/>
      <c r="I617" s="36"/>
      <c r="J617" s="36"/>
      <c r="M617" s="36"/>
      <c r="N617" s="36"/>
      <c r="O617" s="36"/>
      <c r="P617" s="36"/>
      <c r="Q617" s="36"/>
      <c r="R617" s="96" t="str">
        <f>"バックアップ_"&amp;SUBSTITUTE(C617,"_結合","")</f>
        <v>バックアップ_MML共通</v>
      </c>
      <c r="S617" s="97"/>
      <c r="T617" s="100" t="str">
        <f>エンティティ一覧!$O$2</f>
        <v>milscm_2023_010</v>
      </c>
    </row>
    <row r="618" spans="2:23" ht="18.75" customHeight="1">
      <c r="C618" s="98"/>
      <c r="D618" s="99"/>
      <c r="E618" s="109"/>
      <c r="F618" s="37"/>
      <c r="G618" s="37"/>
      <c r="H618" s="37"/>
      <c r="I618" s="37"/>
      <c r="J618" s="37"/>
      <c r="K618" s="37"/>
      <c r="L618" s="38"/>
      <c r="M618" s="37"/>
      <c r="N618" s="37"/>
      <c r="O618" s="37"/>
      <c r="P618" s="37"/>
      <c r="Q618" s="37"/>
      <c r="R618" s="98"/>
      <c r="S618" s="99"/>
      <c r="T618" s="101"/>
    </row>
    <row r="619" spans="2:23" ht="18.75" customHeight="1">
      <c r="K619" s="39"/>
      <c r="L619" s="40"/>
    </row>
    <row r="620" spans="2:23" ht="18.75" customHeight="1">
      <c r="C620" s="96" t="s">
        <v>3229</v>
      </c>
      <c r="D620" s="97"/>
      <c r="E620" s="100" t="str">
        <f>エンティティ一覧!$O$2</f>
        <v>milscm_2023_010</v>
      </c>
      <c r="F620" s="36"/>
      <c r="G620" s="36"/>
      <c r="H620" s="36"/>
      <c r="I620" s="36"/>
      <c r="J620" s="36"/>
      <c r="L620" s="41"/>
    </row>
    <row r="621" spans="2:23" ht="18.75" customHeight="1">
      <c r="C621" s="98"/>
      <c r="D621" s="99"/>
      <c r="E621" s="101"/>
      <c r="F621" s="37"/>
      <c r="G621" s="37"/>
      <c r="H621" s="37"/>
      <c r="I621" s="37"/>
      <c r="J621" s="37"/>
      <c r="K621" s="37"/>
    </row>
    <row r="623" spans="2:23" ht="18.75" customHeight="1" thickBot="1">
      <c r="B623" s="42"/>
      <c r="C623" s="42"/>
      <c r="D623" s="42"/>
      <c r="E623" s="42"/>
      <c r="F623" s="42"/>
      <c r="G623" s="42"/>
      <c r="H623" s="42"/>
      <c r="I623" s="42"/>
      <c r="J623" s="42"/>
      <c r="K623" s="42"/>
      <c r="L623" s="42"/>
      <c r="M623" s="42"/>
      <c r="N623" s="42"/>
      <c r="O623" s="42"/>
      <c r="P623" s="42"/>
      <c r="Q623" s="42"/>
      <c r="R623" s="42"/>
      <c r="S623" s="42"/>
      <c r="T623" s="42"/>
      <c r="U623" s="42"/>
    </row>
    <row r="625" spans="2:23" ht="18.75" customHeight="1">
      <c r="B625" s="43" t="s">
        <v>163</v>
      </c>
      <c r="C625" s="51" t="s">
        <v>3651</v>
      </c>
      <c r="D625" s="90"/>
      <c r="W625" s="35" t="str">
        <f>"-- "&amp;B625&amp;" : "&amp;C625</f>
        <v>-- SQL_ID : 01_A6-03</v>
      </c>
    </row>
    <row r="626" spans="2:23" ht="18.75" customHeight="1">
      <c r="B626" s="43" t="s">
        <v>158</v>
      </c>
      <c r="C626" s="102" t="str">
        <f>R629&amp;"登録"</f>
        <v>バックアップ_MML_診断履歴情報モジュール_本文登録</v>
      </c>
      <c r="D626" s="103"/>
      <c r="E626" s="103"/>
      <c r="F626" s="103"/>
      <c r="G626" s="103"/>
      <c r="H626" s="103"/>
      <c r="I626" s="103"/>
      <c r="J626" s="103"/>
      <c r="K626" s="103"/>
      <c r="L626" s="103"/>
      <c r="M626" s="103"/>
      <c r="N626" s="103"/>
      <c r="O626" s="103"/>
      <c r="P626" s="103"/>
      <c r="Q626" s="103"/>
      <c r="R626" s="103"/>
      <c r="S626" s="103"/>
      <c r="T626" s="103"/>
      <c r="U626" s="104"/>
      <c r="W626" s="35" t="str">
        <f>"-- "&amp;C626</f>
        <v>-- バックアップ_MML_診断履歴情報モジュール_本文登録</v>
      </c>
    </row>
    <row r="627" spans="2:23" ht="18.75" customHeight="1">
      <c r="B627" s="43" t="s">
        <v>159</v>
      </c>
      <c r="C627" s="105" t="str">
        <f>C629&amp;"テーブルから組入れ条件の第一条件で絞り込んだ結果を"&amp;R629&amp;"テーブルに格納する。"</f>
        <v>MML_診断履歴情報モジュール_本文テーブルから組入れ条件の第一条件で絞り込んだ結果をバックアップ_MML_診断履歴情報モジュール_本文テーブルに格納する。</v>
      </c>
      <c r="D627" s="106"/>
      <c r="E627" s="106"/>
      <c r="F627" s="106"/>
      <c r="G627" s="106"/>
      <c r="H627" s="106"/>
      <c r="I627" s="106"/>
      <c r="J627" s="106"/>
      <c r="K627" s="106"/>
      <c r="L627" s="106"/>
      <c r="M627" s="106"/>
      <c r="N627" s="106"/>
      <c r="O627" s="106"/>
      <c r="P627" s="106"/>
      <c r="Q627" s="106"/>
      <c r="R627" s="106"/>
      <c r="S627" s="106"/>
      <c r="T627" s="106"/>
      <c r="U627" s="107"/>
      <c r="W627" s="35" t="str">
        <f>"-- "&amp;C627</f>
        <v>-- MML_診断履歴情報モジュール_本文テーブルから組入れ条件の第一条件で絞り込んだ結果をバックアップ_MML_診断履歴情報モジュール_本文テーブルに格納する。</v>
      </c>
    </row>
    <row r="629" spans="2:23" ht="18.75" customHeight="1">
      <c r="C629" s="96" t="s">
        <v>3652</v>
      </c>
      <c r="D629" s="97"/>
      <c r="E629" s="108" t="s">
        <v>162</v>
      </c>
      <c r="H629" s="36"/>
      <c r="I629" s="36"/>
      <c r="J629" s="36"/>
      <c r="K629" s="36"/>
      <c r="L629" s="36"/>
      <c r="M629" s="36"/>
      <c r="N629" s="36"/>
      <c r="O629" s="36"/>
      <c r="P629" s="36"/>
      <c r="Q629" s="36"/>
      <c r="R629" s="96" t="str">
        <f>"バックアップ_"&amp;SUBSTITUTE(C629,"_結合","")</f>
        <v>バックアップ_MML_診断履歴情報モジュール_本文</v>
      </c>
      <c r="S629" s="97"/>
      <c r="T629" s="100" t="str">
        <f>エンティティ一覧!$O$2</f>
        <v>milscm_2023_010</v>
      </c>
    </row>
    <row r="630" spans="2:23" ht="18.75" customHeight="1">
      <c r="C630" s="98"/>
      <c r="D630" s="99"/>
      <c r="E630" s="109"/>
      <c r="F630" s="37"/>
      <c r="G630" s="38"/>
      <c r="H630" s="37"/>
      <c r="I630" s="37"/>
      <c r="J630" s="37"/>
      <c r="K630" s="37"/>
      <c r="L630" s="37"/>
      <c r="M630" s="37"/>
      <c r="N630" s="37"/>
      <c r="O630" s="37"/>
      <c r="P630" s="37"/>
      <c r="Q630" s="37"/>
      <c r="R630" s="98"/>
      <c r="S630" s="99"/>
      <c r="T630" s="101"/>
    </row>
    <row r="631" spans="2:23" ht="18.75" customHeight="1">
      <c r="F631" s="39"/>
      <c r="G631" s="40"/>
    </row>
    <row r="632" spans="2:23" ht="18.75" customHeight="1">
      <c r="C632" s="96" t="s">
        <v>3229</v>
      </c>
      <c r="D632" s="97"/>
      <c r="E632" s="100" t="str">
        <f>エンティティ一覧!$O$2</f>
        <v>milscm_2023_010</v>
      </c>
      <c r="G632" s="41"/>
    </row>
    <row r="633" spans="2:23" ht="18.75" customHeight="1">
      <c r="C633" s="98"/>
      <c r="D633" s="99"/>
      <c r="E633" s="101"/>
      <c r="F633" s="37"/>
    </row>
    <row r="635" spans="2:23" ht="18.75" customHeight="1" thickBot="1">
      <c r="B635" s="42"/>
      <c r="C635" s="42"/>
      <c r="D635" s="42"/>
      <c r="E635" s="42"/>
      <c r="F635" s="42"/>
      <c r="G635" s="42"/>
      <c r="H635" s="42"/>
      <c r="I635" s="42"/>
      <c r="J635" s="42"/>
      <c r="K635" s="42"/>
      <c r="L635" s="42"/>
      <c r="M635" s="42"/>
      <c r="N635" s="42"/>
      <c r="O635" s="42"/>
      <c r="P635" s="42"/>
      <c r="Q635" s="42"/>
      <c r="R635" s="42"/>
      <c r="S635" s="42"/>
      <c r="T635" s="42"/>
      <c r="U635" s="42"/>
    </row>
    <row r="637" spans="2:23" ht="18.75" customHeight="1">
      <c r="B637" s="43" t="s">
        <v>163</v>
      </c>
      <c r="C637" s="51" t="s">
        <v>3653</v>
      </c>
      <c r="D637" s="90"/>
      <c r="W637" s="35" t="str">
        <f>"-- "&amp;B637&amp;" : "&amp;C637</f>
        <v>-- SQL_ID : 01_A6-04</v>
      </c>
    </row>
    <row r="638" spans="2:23" ht="18.75" customHeight="1">
      <c r="B638" s="43" t="s">
        <v>158</v>
      </c>
      <c r="C638" s="102" t="str">
        <f>R641&amp;"登録"</f>
        <v>バックアップ_MML_診断履歴情報モジュール_病名登録</v>
      </c>
      <c r="D638" s="103"/>
      <c r="E638" s="103"/>
      <c r="F638" s="103"/>
      <c r="G638" s="103"/>
      <c r="H638" s="103"/>
      <c r="I638" s="103"/>
      <c r="J638" s="103"/>
      <c r="K638" s="103"/>
      <c r="L638" s="103"/>
      <c r="M638" s="103"/>
      <c r="N638" s="103"/>
      <c r="O638" s="103"/>
      <c r="P638" s="103"/>
      <c r="Q638" s="103"/>
      <c r="R638" s="103"/>
      <c r="S638" s="103"/>
      <c r="T638" s="103"/>
      <c r="U638" s="104"/>
      <c r="W638" s="35" t="str">
        <f>"-- "&amp;C638</f>
        <v>-- バックアップ_MML_診断履歴情報モジュール_病名登録</v>
      </c>
    </row>
    <row r="639" spans="2:23" ht="18.75" customHeight="1">
      <c r="B639" s="43" t="s">
        <v>159</v>
      </c>
      <c r="C639" s="105" t="str">
        <f>C641&amp;"テーブルから組入れ条件の第一条件で絞り込んだ結果を"&amp;R641&amp;"テーブルに格納する。"</f>
        <v>MML_診断履歴情報モジュール_病名テーブルから組入れ条件の第一条件で絞り込んだ結果をバックアップ_MML_診断履歴情報モジュール_病名テーブルに格納する。</v>
      </c>
      <c r="D639" s="106"/>
      <c r="E639" s="106"/>
      <c r="F639" s="106"/>
      <c r="G639" s="106"/>
      <c r="H639" s="106"/>
      <c r="I639" s="106"/>
      <c r="J639" s="106"/>
      <c r="K639" s="106"/>
      <c r="L639" s="106"/>
      <c r="M639" s="106"/>
      <c r="N639" s="106"/>
      <c r="O639" s="106"/>
      <c r="P639" s="106"/>
      <c r="Q639" s="106"/>
      <c r="R639" s="106"/>
      <c r="S639" s="106"/>
      <c r="T639" s="106"/>
      <c r="U639" s="107"/>
      <c r="W639" s="35" t="str">
        <f>"-- "&amp;C639</f>
        <v>-- MML_診断履歴情報モジュール_病名テーブルから組入れ条件の第一条件で絞り込んだ結果をバックアップ_MML_診断履歴情報モジュール_病名テーブルに格納する。</v>
      </c>
    </row>
    <row r="641" spans="2:23" ht="18.75" customHeight="1">
      <c r="C641" s="96" t="s">
        <v>3654</v>
      </c>
      <c r="D641" s="97"/>
      <c r="E641" s="108" t="s">
        <v>162</v>
      </c>
      <c r="H641" s="36"/>
      <c r="I641" s="36"/>
      <c r="J641" s="36"/>
      <c r="K641" s="36"/>
      <c r="L641" s="36"/>
      <c r="M641" s="36"/>
      <c r="N641" s="36"/>
      <c r="O641" s="36"/>
      <c r="P641" s="36"/>
      <c r="Q641" s="36"/>
      <c r="R641" s="96" t="str">
        <f>"バックアップ_"&amp;SUBSTITUTE(C641,"_結合","")</f>
        <v>バックアップ_MML_診断履歴情報モジュール_病名</v>
      </c>
      <c r="S641" s="97"/>
      <c r="T641" s="100" t="str">
        <f>エンティティ一覧!$O$2</f>
        <v>milscm_2023_010</v>
      </c>
    </row>
    <row r="642" spans="2:23" ht="18.75" customHeight="1">
      <c r="C642" s="98"/>
      <c r="D642" s="99"/>
      <c r="E642" s="109"/>
      <c r="F642" s="37"/>
      <c r="G642" s="38"/>
      <c r="H642" s="37"/>
      <c r="I642" s="37"/>
      <c r="J642" s="37"/>
      <c r="K642" s="37"/>
      <c r="L642" s="37"/>
      <c r="M642" s="37"/>
      <c r="N642" s="37"/>
      <c r="O642" s="37"/>
      <c r="P642" s="37"/>
      <c r="Q642" s="37"/>
      <c r="R642" s="98"/>
      <c r="S642" s="99"/>
      <c r="T642" s="101"/>
    </row>
    <row r="643" spans="2:23" ht="18.75" customHeight="1">
      <c r="F643" s="39"/>
      <c r="G643" s="40"/>
    </row>
    <row r="644" spans="2:23" ht="18.75" customHeight="1">
      <c r="C644" s="96" t="s">
        <v>3229</v>
      </c>
      <c r="D644" s="97"/>
      <c r="E644" s="100" t="str">
        <f>エンティティ一覧!$O$2</f>
        <v>milscm_2023_010</v>
      </c>
      <c r="G644" s="41"/>
    </row>
    <row r="645" spans="2:23" ht="18.75" customHeight="1">
      <c r="C645" s="98"/>
      <c r="D645" s="99"/>
      <c r="E645" s="101"/>
      <c r="F645" s="37"/>
    </row>
    <row r="647" spans="2:23" ht="18.75" customHeight="1" thickBot="1">
      <c r="B647" s="42"/>
      <c r="C647" s="42"/>
      <c r="D647" s="42"/>
      <c r="E647" s="42"/>
      <c r="F647" s="42"/>
      <c r="G647" s="42"/>
      <c r="H647" s="42"/>
      <c r="I647" s="42"/>
      <c r="J647" s="42"/>
      <c r="K647" s="42"/>
      <c r="L647" s="42"/>
      <c r="M647" s="42"/>
      <c r="N647" s="42"/>
      <c r="O647" s="42"/>
      <c r="P647" s="42"/>
      <c r="Q647" s="42"/>
      <c r="R647" s="42"/>
      <c r="S647" s="42"/>
      <c r="T647" s="42"/>
      <c r="U647" s="42"/>
    </row>
    <row r="649" spans="2:23" ht="18.75" customHeight="1">
      <c r="B649" s="43" t="s">
        <v>163</v>
      </c>
      <c r="C649" s="51" t="s">
        <v>3655</v>
      </c>
      <c r="D649" s="90"/>
      <c r="W649" s="35" t="str">
        <f>"-- "&amp;B649&amp;" : "&amp;C649</f>
        <v>-- SQL_ID : 01_A6-05</v>
      </c>
    </row>
    <row r="650" spans="2:23" ht="18.75" customHeight="1">
      <c r="B650" s="43" t="s">
        <v>158</v>
      </c>
      <c r="C650" s="102" t="str">
        <f>R653&amp;"登録"</f>
        <v>バックアップ_MML_診断履歴情報モジュール_カテゴリ名登録</v>
      </c>
      <c r="D650" s="103"/>
      <c r="E650" s="103"/>
      <c r="F650" s="103"/>
      <c r="G650" s="103"/>
      <c r="H650" s="103"/>
      <c r="I650" s="103"/>
      <c r="J650" s="103"/>
      <c r="K650" s="103"/>
      <c r="L650" s="103"/>
      <c r="M650" s="103"/>
      <c r="N650" s="103"/>
      <c r="O650" s="103"/>
      <c r="P650" s="103"/>
      <c r="Q650" s="103"/>
      <c r="R650" s="103"/>
      <c r="S650" s="103"/>
      <c r="T650" s="103"/>
      <c r="U650" s="104"/>
      <c r="W650" s="35" t="str">
        <f>"-- "&amp;C650</f>
        <v>-- バックアップ_MML_診断履歴情報モジュール_カテゴリ名登録</v>
      </c>
    </row>
    <row r="651" spans="2:23" ht="18.75" customHeight="1">
      <c r="B651" s="43" t="s">
        <v>159</v>
      </c>
      <c r="C651" s="105" t="str">
        <f>C653&amp;"テーブルから組入れ条件の第一条件で絞り込んだ結果を"&amp;R653&amp;"テーブルに格納する。"</f>
        <v>MML_診断履歴情報モジュール_カテゴリ名テーブルから組入れ条件の第一条件で絞り込んだ結果をバックアップ_MML_診断履歴情報モジュール_カテゴリ名テーブルに格納する。</v>
      </c>
      <c r="D651" s="106"/>
      <c r="E651" s="106"/>
      <c r="F651" s="106"/>
      <c r="G651" s="106"/>
      <c r="H651" s="106"/>
      <c r="I651" s="106"/>
      <c r="J651" s="106"/>
      <c r="K651" s="106"/>
      <c r="L651" s="106"/>
      <c r="M651" s="106"/>
      <c r="N651" s="106"/>
      <c r="O651" s="106"/>
      <c r="P651" s="106"/>
      <c r="Q651" s="106"/>
      <c r="R651" s="106"/>
      <c r="S651" s="106"/>
      <c r="T651" s="106"/>
      <c r="U651" s="107"/>
      <c r="W651" s="35" t="str">
        <f>"-- "&amp;C651</f>
        <v>-- MML_診断履歴情報モジュール_カテゴリ名テーブルから組入れ条件の第一条件で絞り込んだ結果をバックアップ_MML_診断履歴情報モジュール_カテゴリ名テーブルに格納する。</v>
      </c>
    </row>
    <row r="653" spans="2:23" ht="18.75" customHeight="1">
      <c r="C653" s="96" t="s">
        <v>3656</v>
      </c>
      <c r="D653" s="97"/>
      <c r="E653" s="108" t="s">
        <v>162</v>
      </c>
      <c r="H653" s="36"/>
      <c r="I653" s="36"/>
      <c r="J653" s="36"/>
      <c r="K653" s="36"/>
      <c r="L653" s="36"/>
      <c r="M653" s="36"/>
      <c r="N653" s="36"/>
      <c r="O653" s="36"/>
      <c r="P653" s="36"/>
      <c r="Q653" s="36"/>
      <c r="R653" s="114" t="str">
        <f>"バックアップ_"&amp;SUBSTITUTE(C653,"_結合","")</f>
        <v>バックアップ_MML_診断履歴情報モジュール_カテゴリ名</v>
      </c>
      <c r="S653" s="115"/>
      <c r="T653" s="100" t="str">
        <f>エンティティ一覧!$O$2</f>
        <v>milscm_2023_010</v>
      </c>
    </row>
    <row r="654" spans="2:23" ht="18.75" customHeight="1">
      <c r="C654" s="98"/>
      <c r="D654" s="99"/>
      <c r="E654" s="109"/>
      <c r="F654" s="37"/>
      <c r="G654" s="38"/>
      <c r="H654" s="37"/>
      <c r="I654" s="37"/>
      <c r="J654" s="37"/>
      <c r="K654" s="37"/>
      <c r="L654" s="37"/>
      <c r="M654" s="37"/>
      <c r="N654" s="37"/>
      <c r="O654" s="37"/>
      <c r="P654" s="37"/>
      <c r="Q654" s="37"/>
      <c r="R654" s="116"/>
      <c r="S654" s="117"/>
      <c r="T654" s="101"/>
    </row>
    <row r="655" spans="2:23" ht="18.75" customHeight="1">
      <c r="F655" s="39"/>
      <c r="G655" s="40"/>
    </row>
    <row r="656" spans="2:23" ht="18.75" customHeight="1">
      <c r="C656" s="96" t="s">
        <v>3229</v>
      </c>
      <c r="D656" s="97"/>
      <c r="E656" s="100" t="str">
        <f>エンティティ一覧!$O$2</f>
        <v>milscm_2023_010</v>
      </c>
      <c r="G656" s="41"/>
    </row>
    <row r="657" spans="2:23" ht="18.75" customHeight="1">
      <c r="C657" s="98"/>
      <c r="D657" s="99"/>
      <c r="E657" s="101"/>
      <c r="F657" s="37"/>
    </row>
    <row r="659" spans="2:23" ht="18.75" customHeight="1" thickBot="1">
      <c r="B659" s="42"/>
      <c r="C659" s="42"/>
      <c r="D659" s="42"/>
      <c r="E659" s="42"/>
      <c r="F659" s="42"/>
      <c r="G659" s="42"/>
      <c r="H659" s="42"/>
      <c r="I659" s="42"/>
      <c r="J659" s="42"/>
      <c r="K659" s="42"/>
      <c r="L659" s="42"/>
      <c r="M659" s="42"/>
      <c r="N659" s="42"/>
      <c r="O659" s="42"/>
      <c r="P659" s="42"/>
      <c r="Q659" s="42"/>
      <c r="R659" s="42"/>
      <c r="S659" s="42"/>
      <c r="T659" s="42"/>
      <c r="U659" s="42"/>
    </row>
    <row r="661" spans="2:23" ht="18.75" customHeight="1">
      <c r="B661" s="43" t="s">
        <v>163</v>
      </c>
      <c r="C661" s="51" t="s">
        <v>3657</v>
      </c>
      <c r="D661" s="90"/>
      <c r="W661" s="35" t="str">
        <f>"-- "&amp;B661&amp;" : "&amp;C661</f>
        <v>-- SQL_ID : 01_A6-24</v>
      </c>
    </row>
    <row r="662" spans="2:23" ht="18.75" customHeight="1">
      <c r="B662" s="43" t="s">
        <v>158</v>
      </c>
      <c r="C662" s="102" t="str">
        <f>R665&amp;"登録"</f>
        <v>バックアップ_MML_処方箋モジュール_本文登録</v>
      </c>
      <c r="D662" s="103"/>
      <c r="E662" s="103"/>
      <c r="F662" s="103"/>
      <c r="G662" s="103"/>
      <c r="H662" s="103"/>
      <c r="I662" s="103"/>
      <c r="J662" s="103"/>
      <c r="K662" s="103"/>
      <c r="L662" s="103"/>
      <c r="M662" s="103"/>
      <c r="N662" s="103"/>
      <c r="O662" s="103"/>
      <c r="P662" s="103"/>
      <c r="Q662" s="103"/>
      <c r="R662" s="103"/>
      <c r="S662" s="103"/>
      <c r="T662" s="103"/>
      <c r="U662" s="104"/>
      <c r="W662" s="35" t="str">
        <f>"-- "&amp;C662</f>
        <v>-- バックアップ_MML_処方箋モジュール_本文登録</v>
      </c>
    </row>
    <row r="663" spans="2:23" ht="18.75" customHeight="1">
      <c r="B663" s="43" t="s">
        <v>159</v>
      </c>
      <c r="C663" s="105" t="str">
        <f>C665&amp;"テーブルから組入れ条件の第一条件で絞り込んだ結果を"&amp;R665&amp;"テーブルに格納する。"</f>
        <v>MML_処方箋モジュール_本文テーブルから組入れ条件の第一条件で絞り込んだ結果をバックアップ_MML_処方箋モジュール_本文テーブルに格納する。</v>
      </c>
      <c r="D663" s="106"/>
      <c r="E663" s="106"/>
      <c r="F663" s="106"/>
      <c r="G663" s="106"/>
      <c r="H663" s="106"/>
      <c r="I663" s="106"/>
      <c r="J663" s="106"/>
      <c r="K663" s="106"/>
      <c r="L663" s="106"/>
      <c r="M663" s="106"/>
      <c r="N663" s="106"/>
      <c r="O663" s="106"/>
      <c r="P663" s="106"/>
      <c r="Q663" s="106"/>
      <c r="R663" s="106"/>
      <c r="S663" s="106"/>
      <c r="T663" s="106"/>
      <c r="U663" s="107"/>
      <c r="W663" s="35" t="str">
        <f>"-- "&amp;C663</f>
        <v>-- MML_処方箋モジュール_本文テーブルから組入れ条件の第一条件で絞り込んだ結果をバックアップ_MML_処方箋モジュール_本文テーブルに格納する。</v>
      </c>
    </row>
    <row r="665" spans="2:23" ht="18.75" customHeight="1">
      <c r="C665" s="96" t="s">
        <v>3658</v>
      </c>
      <c r="D665" s="97"/>
      <c r="E665" s="108" t="s">
        <v>162</v>
      </c>
      <c r="H665" s="36"/>
      <c r="I665" s="36"/>
      <c r="J665" s="36"/>
      <c r="K665" s="36"/>
      <c r="L665" s="36"/>
      <c r="M665" s="36"/>
      <c r="N665" s="36"/>
      <c r="O665" s="36"/>
      <c r="P665" s="36"/>
      <c r="Q665" s="36"/>
      <c r="R665" s="96" t="str">
        <f>"バックアップ_"&amp;SUBSTITUTE(C665,"_結合","")</f>
        <v>バックアップ_MML_処方箋モジュール_本文</v>
      </c>
      <c r="S665" s="97"/>
      <c r="T665" s="100" t="str">
        <f>エンティティ一覧!$O$2</f>
        <v>milscm_2023_010</v>
      </c>
    </row>
    <row r="666" spans="2:23" ht="18.75" customHeight="1">
      <c r="C666" s="98"/>
      <c r="D666" s="99"/>
      <c r="E666" s="109"/>
      <c r="F666" s="37"/>
      <c r="G666" s="38"/>
      <c r="H666" s="37"/>
      <c r="I666" s="37"/>
      <c r="J666" s="37"/>
      <c r="K666" s="37"/>
      <c r="L666" s="37"/>
      <c r="M666" s="37"/>
      <c r="N666" s="37"/>
      <c r="O666" s="37"/>
      <c r="P666" s="37"/>
      <c r="Q666" s="37"/>
      <c r="R666" s="98"/>
      <c r="S666" s="99"/>
      <c r="T666" s="101"/>
    </row>
    <row r="667" spans="2:23" ht="18.75" customHeight="1">
      <c r="F667" s="39"/>
      <c r="G667" s="40"/>
    </row>
    <row r="668" spans="2:23" ht="18.75" customHeight="1">
      <c r="C668" s="96" t="s">
        <v>3229</v>
      </c>
      <c r="D668" s="97"/>
      <c r="E668" s="100" t="str">
        <f>エンティティ一覧!$O$2</f>
        <v>milscm_2023_010</v>
      </c>
      <c r="G668" s="41"/>
    </row>
    <row r="669" spans="2:23" ht="18.75" customHeight="1">
      <c r="C669" s="98"/>
      <c r="D669" s="99"/>
      <c r="E669" s="101"/>
      <c r="F669" s="37"/>
    </row>
    <row r="671" spans="2:23" ht="18.75" customHeight="1" thickBot="1">
      <c r="B671" s="42"/>
      <c r="C671" s="42"/>
      <c r="D671" s="42"/>
      <c r="E671" s="42"/>
      <c r="F671" s="42"/>
      <c r="G671" s="42"/>
      <c r="H671" s="42"/>
      <c r="I671" s="42"/>
      <c r="J671" s="42"/>
      <c r="K671" s="42"/>
      <c r="L671" s="42"/>
      <c r="M671" s="42"/>
      <c r="N671" s="42"/>
      <c r="O671" s="42"/>
      <c r="P671" s="42"/>
      <c r="Q671" s="42"/>
      <c r="R671" s="42"/>
      <c r="S671" s="42"/>
      <c r="T671" s="42"/>
      <c r="U671" s="42"/>
    </row>
    <row r="673" spans="2:23" ht="18.75" customHeight="1">
      <c r="B673" s="43" t="s">
        <v>163</v>
      </c>
      <c r="C673" s="51" t="s">
        <v>3659</v>
      </c>
      <c r="D673" s="90"/>
      <c r="W673" s="35" t="str">
        <f>"-- "&amp;B673&amp;" : "&amp;C673</f>
        <v>-- SQL_ID : 01_A6-25</v>
      </c>
    </row>
    <row r="674" spans="2:23" ht="18.75" customHeight="1">
      <c r="B674" s="43" t="s">
        <v>158</v>
      </c>
      <c r="C674" s="102" t="str">
        <f>R677&amp;"登録"</f>
        <v>バックアップ_MML_処方箋モジュール_投薬登録</v>
      </c>
      <c r="D674" s="103"/>
      <c r="E674" s="103"/>
      <c r="F674" s="103"/>
      <c r="G674" s="103"/>
      <c r="H674" s="103"/>
      <c r="I674" s="103"/>
      <c r="J674" s="103"/>
      <c r="K674" s="103"/>
      <c r="L674" s="103"/>
      <c r="M674" s="103"/>
      <c r="N674" s="103"/>
      <c r="O674" s="103"/>
      <c r="P674" s="103"/>
      <c r="Q674" s="103"/>
      <c r="R674" s="103"/>
      <c r="S674" s="103"/>
      <c r="T674" s="103"/>
      <c r="U674" s="104"/>
      <c r="W674" s="35" t="str">
        <f>"-- "&amp;C674</f>
        <v>-- バックアップ_MML_処方箋モジュール_投薬登録</v>
      </c>
    </row>
    <row r="675" spans="2:23" ht="18.75" customHeight="1">
      <c r="B675" s="43" t="s">
        <v>159</v>
      </c>
      <c r="C675" s="105" t="str">
        <f>C677&amp;"テーブルから組入れ条件の第一条件で絞り込んだ結果を"&amp;R677&amp;"テーブルに格納する。"</f>
        <v>MML_処方箋モジュール_投薬テーブルから組入れ条件の第一条件で絞り込んだ結果をバックアップ_MML_処方箋モジュール_投薬テーブルに格納する。</v>
      </c>
      <c r="D675" s="106"/>
      <c r="E675" s="106"/>
      <c r="F675" s="106"/>
      <c r="G675" s="106"/>
      <c r="H675" s="106"/>
      <c r="I675" s="106"/>
      <c r="J675" s="106"/>
      <c r="K675" s="106"/>
      <c r="L675" s="106"/>
      <c r="M675" s="106"/>
      <c r="N675" s="106"/>
      <c r="O675" s="106"/>
      <c r="P675" s="106"/>
      <c r="Q675" s="106"/>
      <c r="R675" s="106"/>
      <c r="S675" s="106"/>
      <c r="T675" s="106"/>
      <c r="U675" s="107"/>
      <c r="W675" s="35" t="str">
        <f>"-- "&amp;C675</f>
        <v>-- MML_処方箋モジュール_投薬テーブルから組入れ条件の第一条件で絞り込んだ結果をバックアップ_MML_処方箋モジュール_投薬テーブルに格納する。</v>
      </c>
    </row>
    <row r="677" spans="2:23" ht="18.75" customHeight="1">
      <c r="C677" s="96" t="s">
        <v>3660</v>
      </c>
      <c r="D677" s="97"/>
      <c r="E677" s="108" t="s">
        <v>162</v>
      </c>
      <c r="H677" s="36"/>
      <c r="I677" s="36"/>
      <c r="J677" s="36"/>
      <c r="K677" s="36"/>
      <c r="L677" s="36"/>
      <c r="M677" s="36"/>
      <c r="N677" s="36"/>
      <c r="O677" s="36"/>
      <c r="P677" s="36"/>
      <c r="Q677" s="36"/>
      <c r="R677" s="96" t="str">
        <f>"バックアップ_"&amp;SUBSTITUTE(C677,"_結合","")</f>
        <v>バックアップ_MML_処方箋モジュール_投薬</v>
      </c>
      <c r="S677" s="97"/>
      <c r="T677" s="100" t="str">
        <f>エンティティ一覧!$O$2</f>
        <v>milscm_2023_010</v>
      </c>
    </row>
    <row r="678" spans="2:23" ht="18.75" customHeight="1">
      <c r="C678" s="98"/>
      <c r="D678" s="99"/>
      <c r="E678" s="109"/>
      <c r="F678" s="37"/>
      <c r="G678" s="38"/>
      <c r="H678" s="37"/>
      <c r="I678" s="37"/>
      <c r="J678" s="37"/>
      <c r="K678" s="37"/>
      <c r="L678" s="37"/>
      <c r="M678" s="37"/>
      <c r="N678" s="37"/>
      <c r="O678" s="37"/>
      <c r="P678" s="37"/>
      <c r="Q678" s="37"/>
      <c r="R678" s="98"/>
      <c r="S678" s="99"/>
      <c r="T678" s="101"/>
    </row>
    <row r="679" spans="2:23" ht="18.75" customHeight="1">
      <c r="F679" s="39"/>
      <c r="G679" s="40"/>
    </row>
    <row r="680" spans="2:23" ht="18.75" customHeight="1">
      <c r="C680" s="96" t="s">
        <v>3229</v>
      </c>
      <c r="D680" s="97"/>
      <c r="E680" s="100" t="str">
        <f>エンティティ一覧!$O$2</f>
        <v>milscm_2023_010</v>
      </c>
      <c r="G680" s="41"/>
    </row>
    <row r="681" spans="2:23" ht="18.75" customHeight="1">
      <c r="C681" s="98"/>
      <c r="D681" s="99"/>
      <c r="E681" s="101"/>
      <c r="F681" s="37"/>
    </row>
    <row r="683" spans="2:23" ht="18.75" customHeight="1" thickBot="1">
      <c r="B683" s="42"/>
      <c r="C683" s="42"/>
      <c r="D683" s="42"/>
      <c r="E683" s="42"/>
      <c r="F683" s="42"/>
      <c r="G683" s="42"/>
      <c r="H683" s="42"/>
      <c r="I683" s="42"/>
      <c r="J683" s="42"/>
      <c r="K683" s="42"/>
      <c r="L683" s="42"/>
      <c r="M683" s="42"/>
      <c r="N683" s="42"/>
      <c r="O683" s="42"/>
      <c r="P683" s="42"/>
      <c r="Q683" s="42"/>
      <c r="R683" s="42"/>
      <c r="S683" s="42"/>
      <c r="T683" s="42"/>
      <c r="U683" s="42"/>
    </row>
    <row r="685" spans="2:23" ht="18.75" customHeight="1">
      <c r="B685" s="43" t="s">
        <v>163</v>
      </c>
      <c r="C685" s="51" t="s">
        <v>3661</v>
      </c>
      <c r="D685" s="90"/>
      <c r="W685" s="35" t="str">
        <f>"-- "&amp;B685&amp;" : "&amp;C685</f>
        <v>-- SQL_ID : 01_A6-26</v>
      </c>
    </row>
    <row r="686" spans="2:23" ht="18.75" customHeight="1">
      <c r="B686" s="43" t="s">
        <v>158</v>
      </c>
      <c r="C686" s="102" t="str">
        <f>R689&amp;"登録"</f>
        <v>バックアップ_MML_処方箋モジュール_薬剤登録</v>
      </c>
      <c r="D686" s="103"/>
      <c r="E686" s="103"/>
      <c r="F686" s="103"/>
      <c r="G686" s="103"/>
      <c r="H686" s="103"/>
      <c r="I686" s="103"/>
      <c r="J686" s="103"/>
      <c r="K686" s="103"/>
      <c r="L686" s="103"/>
      <c r="M686" s="103"/>
      <c r="N686" s="103"/>
      <c r="O686" s="103"/>
      <c r="P686" s="103"/>
      <c r="Q686" s="103"/>
      <c r="R686" s="103"/>
      <c r="S686" s="103"/>
      <c r="T686" s="103"/>
      <c r="U686" s="104"/>
      <c r="W686" s="35" t="str">
        <f>"-- "&amp;C686</f>
        <v>-- バックアップ_MML_処方箋モジュール_薬剤登録</v>
      </c>
    </row>
    <row r="687" spans="2:23" ht="18.75" customHeight="1">
      <c r="B687" s="43" t="s">
        <v>159</v>
      </c>
      <c r="C687" s="105" t="str">
        <f>C689&amp;"テーブルから組入れ条件の第一条件で絞り込んだ結果を"&amp;R689&amp;"テーブルに格納する。"</f>
        <v>MML_処方箋モジュール_薬剤テーブルから組入れ条件の第一条件で絞り込んだ結果をバックアップ_MML_処方箋モジュール_薬剤テーブルに格納する。</v>
      </c>
      <c r="D687" s="106"/>
      <c r="E687" s="106"/>
      <c r="F687" s="106"/>
      <c r="G687" s="106"/>
      <c r="H687" s="106"/>
      <c r="I687" s="106"/>
      <c r="J687" s="106"/>
      <c r="K687" s="106"/>
      <c r="L687" s="106"/>
      <c r="M687" s="106"/>
      <c r="N687" s="106"/>
      <c r="O687" s="106"/>
      <c r="P687" s="106"/>
      <c r="Q687" s="106"/>
      <c r="R687" s="106"/>
      <c r="S687" s="106"/>
      <c r="T687" s="106"/>
      <c r="U687" s="107"/>
      <c r="W687" s="35" t="str">
        <f>"-- "&amp;C687</f>
        <v>-- MML_処方箋モジュール_薬剤テーブルから組入れ条件の第一条件で絞り込んだ結果をバックアップ_MML_処方箋モジュール_薬剤テーブルに格納する。</v>
      </c>
    </row>
    <row r="689" spans="2:23" ht="18.75" customHeight="1">
      <c r="C689" s="96" t="s">
        <v>3662</v>
      </c>
      <c r="D689" s="97"/>
      <c r="E689" s="108" t="s">
        <v>162</v>
      </c>
      <c r="H689" s="36"/>
      <c r="I689" s="36"/>
      <c r="J689" s="36"/>
      <c r="K689" s="36"/>
      <c r="L689" s="36"/>
      <c r="M689" s="36"/>
      <c r="N689" s="36"/>
      <c r="O689" s="36"/>
      <c r="P689" s="36"/>
      <c r="Q689" s="36"/>
      <c r="R689" s="96" t="str">
        <f>"バックアップ_"&amp;SUBSTITUTE(C689,"_結合","")</f>
        <v>バックアップ_MML_処方箋モジュール_薬剤</v>
      </c>
      <c r="S689" s="97"/>
      <c r="T689" s="100" t="str">
        <f>エンティティ一覧!$O$2</f>
        <v>milscm_2023_010</v>
      </c>
    </row>
    <row r="690" spans="2:23" ht="18.75" customHeight="1">
      <c r="C690" s="98"/>
      <c r="D690" s="99"/>
      <c r="E690" s="109"/>
      <c r="F690" s="37"/>
      <c r="G690" s="38"/>
      <c r="H690" s="37"/>
      <c r="I690" s="37"/>
      <c r="J690" s="37"/>
      <c r="K690" s="37"/>
      <c r="L690" s="37"/>
      <c r="M690" s="37"/>
      <c r="N690" s="37"/>
      <c r="O690" s="37"/>
      <c r="P690" s="37"/>
      <c r="Q690" s="37"/>
      <c r="R690" s="98"/>
      <c r="S690" s="99"/>
      <c r="T690" s="101"/>
    </row>
    <row r="691" spans="2:23" ht="18.75" customHeight="1">
      <c r="F691" s="39"/>
      <c r="G691" s="40"/>
    </row>
    <row r="692" spans="2:23" ht="18.75" customHeight="1">
      <c r="C692" s="96" t="s">
        <v>3229</v>
      </c>
      <c r="D692" s="97"/>
      <c r="E692" s="100" t="str">
        <f>エンティティ一覧!$O$2</f>
        <v>milscm_2023_010</v>
      </c>
      <c r="G692" s="41"/>
    </row>
    <row r="693" spans="2:23" ht="18.75" customHeight="1">
      <c r="C693" s="98"/>
      <c r="D693" s="99"/>
      <c r="E693" s="101"/>
      <c r="F693" s="37"/>
    </row>
    <row r="695" spans="2:23" ht="18.75" customHeight="1" thickBot="1">
      <c r="B695" s="42"/>
      <c r="C695" s="42"/>
      <c r="D695" s="42"/>
      <c r="E695" s="42"/>
      <c r="F695" s="42"/>
      <c r="G695" s="42"/>
      <c r="H695" s="42"/>
      <c r="I695" s="42"/>
      <c r="J695" s="42"/>
      <c r="K695" s="42"/>
      <c r="L695" s="42"/>
      <c r="M695" s="42"/>
      <c r="N695" s="42"/>
      <c r="O695" s="42"/>
      <c r="P695" s="42"/>
      <c r="Q695" s="42"/>
      <c r="R695" s="42"/>
      <c r="S695" s="42"/>
      <c r="T695" s="42"/>
      <c r="U695" s="42"/>
    </row>
    <row r="697" spans="2:23" ht="18.75" customHeight="1">
      <c r="B697" s="43" t="s">
        <v>163</v>
      </c>
      <c r="C697" s="51" t="s">
        <v>3663</v>
      </c>
      <c r="D697" s="90"/>
      <c r="W697" s="35" t="str">
        <f>"-- "&amp;B697&amp;" : "&amp;C697</f>
        <v>-- SQL_ID : 01_A6-27</v>
      </c>
    </row>
    <row r="698" spans="2:23" ht="18.75" customHeight="1">
      <c r="B698" s="43" t="s">
        <v>158</v>
      </c>
      <c r="C698" s="102" t="str">
        <f>R701&amp;"登録"</f>
        <v>バックアップ_MML_注射記録モジュール_本文登録</v>
      </c>
      <c r="D698" s="103"/>
      <c r="E698" s="103"/>
      <c r="F698" s="103"/>
      <c r="G698" s="103"/>
      <c r="H698" s="103"/>
      <c r="I698" s="103"/>
      <c r="J698" s="103"/>
      <c r="K698" s="103"/>
      <c r="L698" s="103"/>
      <c r="M698" s="103"/>
      <c r="N698" s="103"/>
      <c r="O698" s="103"/>
      <c r="P698" s="103"/>
      <c r="Q698" s="103"/>
      <c r="R698" s="103"/>
      <c r="S698" s="103"/>
      <c r="T698" s="103"/>
      <c r="U698" s="104"/>
      <c r="W698" s="35" t="str">
        <f>"-- "&amp;C698</f>
        <v>-- バックアップ_MML_注射記録モジュール_本文登録</v>
      </c>
    </row>
    <row r="699" spans="2:23" ht="18.75" customHeight="1">
      <c r="B699" s="43" t="s">
        <v>159</v>
      </c>
      <c r="C699" s="105" t="str">
        <f>C701&amp;"テーブルから組入れ条件の第一条件で絞り込んだ結果を"&amp;R701&amp;"テーブルに格納する。"</f>
        <v>MML_注射記録モジュール_本文テーブルから組入れ条件の第一条件で絞り込んだ結果をバックアップ_MML_注射記録モジュール_本文テーブルに格納する。</v>
      </c>
      <c r="D699" s="106"/>
      <c r="E699" s="106"/>
      <c r="F699" s="106"/>
      <c r="G699" s="106"/>
      <c r="H699" s="106"/>
      <c r="I699" s="106"/>
      <c r="J699" s="106"/>
      <c r="K699" s="106"/>
      <c r="L699" s="106"/>
      <c r="M699" s="106"/>
      <c r="N699" s="106"/>
      <c r="O699" s="106"/>
      <c r="P699" s="106"/>
      <c r="Q699" s="106"/>
      <c r="R699" s="106"/>
      <c r="S699" s="106"/>
      <c r="T699" s="106"/>
      <c r="U699" s="107"/>
      <c r="W699" s="35" t="str">
        <f>"-- "&amp;C699</f>
        <v>-- MML_注射記録モジュール_本文テーブルから組入れ条件の第一条件で絞り込んだ結果をバックアップ_MML_注射記録モジュール_本文テーブルに格納する。</v>
      </c>
    </row>
    <row r="701" spans="2:23" ht="18.75" customHeight="1">
      <c r="C701" s="96" t="s">
        <v>3664</v>
      </c>
      <c r="D701" s="97"/>
      <c r="E701" s="108" t="s">
        <v>162</v>
      </c>
      <c r="H701" s="36"/>
      <c r="I701" s="36"/>
      <c r="J701" s="36"/>
      <c r="K701" s="36"/>
      <c r="L701" s="36"/>
      <c r="M701" s="36"/>
      <c r="N701" s="36"/>
      <c r="O701" s="36"/>
      <c r="P701" s="36"/>
      <c r="Q701" s="36"/>
      <c r="R701" s="96" t="str">
        <f>"バックアップ_"&amp;SUBSTITUTE(C701,"_結合","")</f>
        <v>バックアップ_MML_注射記録モジュール_本文</v>
      </c>
      <c r="S701" s="97"/>
      <c r="T701" s="100" t="str">
        <f>エンティティ一覧!$O$2</f>
        <v>milscm_2023_010</v>
      </c>
    </row>
    <row r="702" spans="2:23" ht="18.75" customHeight="1">
      <c r="C702" s="98"/>
      <c r="D702" s="99"/>
      <c r="E702" s="109"/>
      <c r="F702" s="37"/>
      <c r="G702" s="38"/>
      <c r="H702" s="37"/>
      <c r="I702" s="37"/>
      <c r="J702" s="37"/>
      <c r="K702" s="37"/>
      <c r="L702" s="37"/>
      <c r="M702" s="37"/>
      <c r="N702" s="37"/>
      <c r="O702" s="37"/>
      <c r="P702" s="37"/>
      <c r="Q702" s="37"/>
      <c r="R702" s="98"/>
      <c r="S702" s="99"/>
      <c r="T702" s="101"/>
    </row>
    <row r="703" spans="2:23" ht="18.75" customHeight="1">
      <c r="F703" s="39"/>
      <c r="G703" s="40"/>
    </row>
    <row r="704" spans="2:23" ht="18.75" customHeight="1">
      <c r="C704" s="96" t="s">
        <v>3229</v>
      </c>
      <c r="D704" s="97"/>
      <c r="E704" s="100" t="str">
        <f>エンティティ一覧!$O$2</f>
        <v>milscm_2023_010</v>
      </c>
      <c r="G704" s="41"/>
    </row>
    <row r="705" spans="2:23" ht="18.75" customHeight="1">
      <c r="C705" s="98"/>
      <c r="D705" s="99"/>
      <c r="E705" s="101"/>
      <c r="F705" s="37"/>
    </row>
    <row r="707" spans="2:23" ht="18.75" customHeight="1" thickBot="1">
      <c r="B707" s="42"/>
      <c r="C707" s="42"/>
      <c r="D707" s="42"/>
      <c r="E707" s="42"/>
      <c r="F707" s="42"/>
      <c r="G707" s="42"/>
      <c r="H707" s="42"/>
      <c r="I707" s="42"/>
      <c r="J707" s="42"/>
      <c r="K707" s="42"/>
      <c r="L707" s="42"/>
      <c r="M707" s="42"/>
      <c r="N707" s="42"/>
      <c r="O707" s="42"/>
      <c r="P707" s="42"/>
      <c r="Q707" s="42"/>
      <c r="R707" s="42"/>
      <c r="S707" s="42"/>
      <c r="T707" s="42"/>
      <c r="U707" s="42"/>
    </row>
    <row r="709" spans="2:23" ht="18.75" customHeight="1">
      <c r="B709" s="43" t="s">
        <v>163</v>
      </c>
      <c r="C709" s="51" t="s">
        <v>3665</v>
      </c>
      <c r="D709" s="90"/>
      <c r="W709" s="35" t="str">
        <f>"-- "&amp;B709&amp;" : "&amp;C709</f>
        <v>-- SQL_ID : 01_A6-28</v>
      </c>
    </row>
    <row r="710" spans="2:23" ht="18.75" customHeight="1">
      <c r="B710" s="43" t="s">
        <v>158</v>
      </c>
      <c r="C710" s="102" t="str">
        <f>R713&amp;"登録"</f>
        <v>バックアップ_MML_注射記録モジュール_投薬登録</v>
      </c>
      <c r="D710" s="103"/>
      <c r="E710" s="103"/>
      <c r="F710" s="103"/>
      <c r="G710" s="103"/>
      <c r="H710" s="103"/>
      <c r="I710" s="103"/>
      <c r="J710" s="103"/>
      <c r="K710" s="103"/>
      <c r="L710" s="103"/>
      <c r="M710" s="103"/>
      <c r="N710" s="103"/>
      <c r="O710" s="103"/>
      <c r="P710" s="103"/>
      <c r="Q710" s="103"/>
      <c r="R710" s="103"/>
      <c r="S710" s="103"/>
      <c r="T710" s="103"/>
      <c r="U710" s="104"/>
      <c r="W710" s="35" t="str">
        <f>"-- "&amp;C710</f>
        <v>-- バックアップ_MML_注射記録モジュール_投薬登録</v>
      </c>
    </row>
    <row r="711" spans="2:23" ht="18.75" customHeight="1">
      <c r="B711" s="43" t="s">
        <v>159</v>
      </c>
      <c r="C711" s="105" t="str">
        <f>C713&amp;"テーブルから組入れ条件の第一条件で絞り込んだ結果を"&amp;R713&amp;"テーブルに格納する。"</f>
        <v>MML_注射記録モジュール_投薬テーブルから組入れ条件の第一条件で絞り込んだ結果をバックアップ_MML_注射記録モジュール_投薬テーブルに格納する。</v>
      </c>
      <c r="D711" s="106"/>
      <c r="E711" s="106"/>
      <c r="F711" s="106"/>
      <c r="G711" s="106"/>
      <c r="H711" s="106"/>
      <c r="I711" s="106"/>
      <c r="J711" s="106"/>
      <c r="K711" s="106"/>
      <c r="L711" s="106"/>
      <c r="M711" s="106"/>
      <c r="N711" s="106"/>
      <c r="O711" s="106"/>
      <c r="P711" s="106"/>
      <c r="Q711" s="106"/>
      <c r="R711" s="106"/>
      <c r="S711" s="106"/>
      <c r="T711" s="106"/>
      <c r="U711" s="107"/>
      <c r="W711" s="35" t="str">
        <f>"-- "&amp;C711</f>
        <v>-- MML_注射記録モジュール_投薬テーブルから組入れ条件の第一条件で絞り込んだ結果をバックアップ_MML_注射記録モジュール_投薬テーブルに格納する。</v>
      </c>
    </row>
    <row r="713" spans="2:23" ht="18.75" customHeight="1">
      <c r="C713" s="96" t="s">
        <v>3666</v>
      </c>
      <c r="D713" s="97"/>
      <c r="E713" s="108" t="s">
        <v>162</v>
      </c>
      <c r="H713" s="36"/>
      <c r="I713" s="36"/>
      <c r="J713" s="36"/>
      <c r="K713" s="36"/>
      <c r="L713" s="36"/>
      <c r="M713" s="36"/>
      <c r="N713" s="36"/>
      <c r="O713" s="36"/>
      <c r="P713" s="36"/>
      <c r="Q713" s="36"/>
      <c r="R713" s="96" t="str">
        <f>"バックアップ_"&amp;SUBSTITUTE(C713,"_結合","")</f>
        <v>バックアップ_MML_注射記録モジュール_投薬</v>
      </c>
      <c r="S713" s="97"/>
      <c r="T713" s="100" t="str">
        <f>エンティティ一覧!$O$2</f>
        <v>milscm_2023_010</v>
      </c>
    </row>
    <row r="714" spans="2:23" ht="18.75" customHeight="1">
      <c r="C714" s="98"/>
      <c r="D714" s="99"/>
      <c r="E714" s="109"/>
      <c r="F714" s="37"/>
      <c r="G714" s="38"/>
      <c r="H714" s="37"/>
      <c r="I714" s="37"/>
      <c r="J714" s="37"/>
      <c r="K714" s="37"/>
      <c r="L714" s="37"/>
      <c r="M714" s="37"/>
      <c r="N714" s="37"/>
      <c r="O714" s="37"/>
      <c r="P714" s="37"/>
      <c r="Q714" s="37"/>
      <c r="R714" s="98"/>
      <c r="S714" s="99"/>
      <c r="T714" s="101"/>
    </row>
    <row r="715" spans="2:23" ht="18.75" customHeight="1">
      <c r="F715" s="39"/>
      <c r="G715" s="40"/>
    </row>
    <row r="716" spans="2:23" ht="18.75" customHeight="1">
      <c r="C716" s="96" t="s">
        <v>3229</v>
      </c>
      <c r="D716" s="97"/>
      <c r="E716" s="100" t="str">
        <f>エンティティ一覧!$O$2</f>
        <v>milscm_2023_010</v>
      </c>
      <c r="G716" s="41"/>
    </row>
    <row r="717" spans="2:23" ht="18.75" customHeight="1">
      <c r="C717" s="98"/>
      <c r="D717" s="99"/>
      <c r="E717" s="101"/>
      <c r="F717" s="37"/>
    </row>
    <row r="719" spans="2:23" ht="18.75" customHeight="1" thickBot="1">
      <c r="B719" s="42"/>
      <c r="C719" s="42"/>
      <c r="D719" s="42"/>
      <c r="E719" s="42"/>
      <c r="F719" s="42"/>
      <c r="G719" s="42"/>
      <c r="H719" s="42"/>
      <c r="I719" s="42"/>
      <c r="J719" s="42"/>
      <c r="K719" s="42"/>
      <c r="L719" s="42"/>
      <c r="M719" s="42"/>
      <c r="N719" s="42"/>
      <c r="O719" s="42"/>
      <c r="P719" s="42"/>
      <c r="Q719" s="42"/>
      <c r="R719" s="42"/>
      <c r="S719" s="42"/>
      <c r="T719" s="42"/>
      <c r="U719" s="42"/>
    </row>
    <row r="721" spans="2:23" ht="18.75" customHeight="1">
      <c r="B721" s="43" t="s">
        <v>163</v>
      </c>
      <c r="C721" s="51" t="s">
        <v>3667</v>
      </c>
      <c r="D721" s="90"/>
      <c r="W721" s="35" t="str">
        <f>"-- "&amp;B721&amp;" : "&amp;C721</f>
        <v>-- SQL_ID : 01_A6-29</v>
      </c>
    </row>
    <row r="722" spans="2:23" ht="18.75" customHeight="1">
      <c r="B722" s="43" t="s">
        <v>158</v>
      </c>
      <c r="C722" s="102" t="str">
        <f>R725&amp;"登録"</f>
        <v>バックアップ_MML_注射記録モジュール_薬剤登録</v>
      </c>
      <c r="D722" s="103"/>
      <c r="E722" s="103"/>
      <c r="F722" s="103"/>
      <c r="G722" s="103"/>
      <c r="H722" s="103"/>
      <c r="I722" s="103"/>
      <c r="J722" s="103"/>
      <c r="K722" s="103"/>
      <c r="L722" s="103"/>
      <c r="M722" s="103"/>
      <c r="N722" s="103"/>
      <c r="O722" s="103"/>
      <c r="P722" s="103"/>
      <c r="Q722" s="103"/>
      <c r="R722" s="103"/>
      <c r="S722" s="103"/>
      <c r="T722" s="103"/>
      <c r="U722" s="104"/>
      <c r="W722" s="35" t="str">
        <f>"-- "&amp;C722</f>
        <v>-- バックアップ_MML_注射記録モジュール_薬剤登録</v>
      </c>
    </row>
    <row r="723" spans="2:23" ht="18.75" customHeight="1">
      <c r="B723" s="43" t="s">
        <v>159</v>
      </c>
      <c r="C723" s="105" t="str">
        <f>C725&amp;"テーブルから組入れ条件の第一条件で絞り込んだ結果を"&amp;R725&amp;"テーブルに格納する。"</f>
        <v>MML_注射記録モジュール_薬剤テーブルから組入れ条件の第一条件で絞り込んだ結果をバックアップ_MML_注射記録モジュール_薬剤テーブルに格納する。</v>
      </c>
      <c r="D723" s="106"/>
      <c r="E723" s="106"/>
      <c r="F723" s="106"/>
      <c r="G723" s="106"/>
      <c r="H723" s="106"/>
      <c r="I723" s="106"/>
      <c r="J723" s="106"/>
      <c r="K723" s="106"/>
      <c r="L723" s="106"/>
      <c r="M723" s="106"/>
      <c r="N723" s="106"/>
      <c r="O723" s="106"/>
      <c r="P723" s="106"/>
      <c r="Q723" s="106"/>
      <c r="R723" s="106"/>
      <c r="S723" s="106"/>
      <c r="T723" s="106"/>
      <c r="U723" s="107"/>
      <c r="W723" s="35" t="str">
        <f>"-- "&amp;C723</f>
        <v>-- MML_注射記録モジュール_薬剤テーブルから組入れ条件の第一条件で絞り込んだ結果をバックアップ_MML_注射記録モジュール_薬剤テーブルに格納する。</v>
      </c>
    </row>
    <row r="725" spans="2:23" ht="18.75" customHeight="1">
      <c r="C725" s="96" t="s">
        <v>3668</v>
      </c>
      <c r="D725" s="97"/>
      <c r="E725" s="108" t="s">
        <v>162</v>
      </c>
      <c r="H725" s="36"/>
      <c r="I725" s="36"/>
      <c r="J725" s="36"/>
      <c r="K725" s="36"/>
      <c r="L725" s="36"/>
      <c r="M725" s="36"/>
      <c r="N725" s="36"/>
      <c r="O725" s="36"/>
      <c r="P725" s="36"/>
      <c r="Q725" s="36"/>
      <c r="R725" s="96" t="str">
        <f>"バックアップ_"&amp;SUBSTITUTE(C725,"_結合","")</f>
        <v>バックアップ_MML_注射記録モジュール_薬剤</v>
      </c>
      <c r="S725" s="97"/>
      <c r="T725" s="100" t="str">
        <f>エンティティ一覧!$O$2</f>
        <v>milscm_2023_010</v>
      </c>
    </row>
    <row r="726" spans="2:23" ht="18.75" customHeight="1">
      <c r="C726" s="98"/>
      <c r="D726" s="99"/>
      <c r="E726" s="109"/>
      <c r="F726" s="37"/>
      <c r="G726" s="38"/>
      <c r="H726" s="37"/>
      <c r="I726" s="37"/>
      <c r="J726" s="37"/>
      <c r="K726" s="37"/>
      <c r="L726" s="37"/>
      <c r="M726" s="37"/>
      <c r="N726" s="37"/>
      <c r="O726" s="37"/>
      <c r="P726" s="37"/>
      <c r="Q726" s="37"/>
      <c r="R726" s="98"/>
      <c r="S726" s="99"/>
      <c r="T726" s="101"/>
    </row>
    <row r="727" spans="2:23" ht="18.75" customHeight="1">
      <c r="F727" s="39"/>
      <c r="G727" s="40"/>
    </row>
    <row r="728" spans="2:23" ht="18.75" customHeight="1">
      <c r="C728" s="96" t="s">
        <v>3229</v>
      </c>
      <c r="D728" s="97"/>
      <c r="E728" s="100" t="str">
        <f>エンティティ一覧!$O$2</f>
        <v>milscm_2023_010</v>
      </c>
      <c r="G728" s="41"/>
    </row>
    <row r="729" spans="2:23" ht="18.75" customHeight="1">
      <c r="C729" s="98"/>
      <c r="D729" s="99"/>
      <c r="E729" s="101"/>
      <c r="F729" s="37"/>
    </row>
    <row r="731" spans="2:23" ht="18.75" customHeight="1" thickBot="1">
      <c r="B731" s="42"/>
      <c r="C731" s="42"/>
      <c r="D731" s="42"/>
      <c r="E731" s="42"/>
      <c r="F731" s="42"/>
      <c r="G731" s="42"/>
      <c r="H731" s="42"/>
      <c r="I731" s="42"/>
      <c r="J731" s="42"/>
      <c r="K731" s="42"/>
      <c r="L731" s="42"/>
      <c r="M731" s="42"/>
      <c r="N731" s="42"/>
      <c r="O731" s="42"/>
      <c r="P731" s="42"/>
      <c r="Q731" s="42"/>
      <c r="R731" s="42"/>
      <c r="S731" s="42"/>
      <c r="T731" s="42"/>
      <c r="U731" s="42"/>
    </row>
    <row r="733" spans="2:23" ht="18.75" customHeight="1">
      <c r="B733" s="43" t="s">
        <v>163</v>
      </c>
      <c r="C733" s="51" t="s">
        <v>3669</v>
      </c>
      <c r="D733" s="90"/>
      <c r="W733" s="35" t="str">
        <f>"-- "&amp;B733&amp;" : "&amp;C733</f>
        <v>-- SQL_ID : 01_A6-42</v>
      </c>
    </row>
    <row r="734" spans="2:23" ht="18.75" customHeight="1">
      <c r="B734" s="43" t="s">
        <v>158</v>
      </c>
      <c r="C734" s="102" t="str">
        <f>R737&amp;"登録"</f>
        <v>バックアップ_MML_手術モジュール_手術項目登録</v>
      </c>
      <c r="D734" s="103"/>
      <c r="E734" s="103"/>
      <c r="F734" s="103"/>
      <c r="G734" s="103"/>
      <c r="H734" s="103"/>
      <c r="I734" s="103"/>
      <c r="J734" s="103"/>
      <c r="K734" s="103"/>
      <c r="L734" s="103"/>
      <c r="M734" s="103"/>
      <c r="N734" s="103"/>
      <c r="O734" s="103"/>
      <c r="P734" s="103"/>
      <c r="Q734" s="103"/>
      <c r="R734" s="103"/>
      <c r="S734" s="103"/>
      <c r="T734" s="103"/>
      <c r="U734" s="104"/>
      <c r="W734" s="35" t="str">
        <f>"-- "&amp;C734</f>
        <v>-- バックアップ_MML_手術モジュール_手術項目登録</v>
      </c>
    </row>
    <row r="735" spans="2:23" ht="18.75" customHeight="1">
      <c r="B735" s="43" t="s">
        <v>159</v>
      </c>
      <c r="C735" s="105" t="str">
        <f>C737&amp;"テーブルから組入れ条件の第一条件で絞り込んだ結果を"&amp;R737&amp;"テーブルに格納する。"</f>
        <v>MML_手術モジュール_手術項目テーブルから組入れ条件の第一条件で絞り込んだ結果をバックアップ_MML_手術モジュール_手術項目テーブルに格納する。</v>
      </c>
      <c r="D735" s="106"/>
      <c r="E735" s="106"/>
      <c r="F735" s="106"/>
      <c r="G735" s="106"/>
      <c r="H735" s="106"/>
      <c r="I735" s="106"/>
      <c r="J735" s="106"/>
      <c r="K735" s="106"/>
      <c r="L735" s="106"/>
      <c r="M735" s="106"/>
      <c r="N735" s="106"/>
      <c r="O735" s="106"/>
      <c r="P735" s="106"/>
      <c r="Q735" s="106"/>
      <c r="R735" s="106"/>
      <c r="S735" s="106"/>
      <c r="T735" s="106"/>
      <c r="U735" s="107"/>
      <c r="W735" s="35" t="str">
        <f>"-- "&amp;C735</f>
        <v>-- MML_手術モジュール_手術項目テーブルから組入れ条件の第一条件で絞り込んだ結果をバックアップ_MML_手術モジュール_手術項目テーブルに格納する。</v>
      </c>
    </row>
    <row r="737" spans="2:23" ht="18.75" customHeight="1">
      <c r="C737" s="96" t="s">
        <v>3670</v>
      </c>
      <c r="D737" s="97"/>
      <c r="E737" s="108" t="s">
        <v>162</v>
      </c>
      <c r="H737" s="36"/>
      <c r="I737" s="36"/>
      <c r="J737" s="36"/>
      <c r="K737" s="36"/>
      <c r="L737" s="36"/>
      <c r="M737" s="36"/>
      <c r="N737" s="36"/>
      <c r="O737" s="36"/>
      <c r="P737" s="36"/>
      <c r="Q737" s="36"/>
      <c r="R737" s="96" t="str">
        <f>"バックアップ_"&amp;SUBSTITUTE(C737,"_結合","")</f>
        <v>バックアップ_MML_手術モジュール_手術項目</v>
      </c>
      <c r="S737" s="97"/>
      <c r="T737" s="100" t="str">
        <f>エンティティ一覧!$O$2</f>
        <v>milscm_2023_010</v>
      </c>
    </row>
    <row r="738" spans="2:23" ht="18.75" customHeight="1">
      <c r="C738" s="98"/>
      <c r="D738" s="99"/>
      <c r="E738" s="109"/>
      <c r="F738" s="37"/>
      <c r="G738" s="38"/>
      <c r="H738" s="37"/>
      <c r="I738" s="37"/>
      <c r="J738" s="37"/>
      <c r="K738" s="37"/>
      <c r="L738" s="37"/>
      <c r="M738" s="37"/>
      <c r="N738" s="37"/>
      <c r="O738" s="37"/>
      <c r="P738" s="37"/>
      <c r="Q738" s="37"/>
      <c r="R738" s="98"/>
      <c r="S738" s="99"/>
      <c r="T738" s="101"/>
    </row>
    <row r="739" spans="2:23" ht="18.75" customHeight="1">
      <c r="F739" s="39"/>
      <c r="G739" s="40"/>
    </row>
    <row r="740" spans="2:23" ht="18.75" customHeight="1">
      <c r="C740" s="96" t="s">
        <v>3229</v>
      </c>
      <c r="D740" s="97"/>
      <c r="E740" s="100" t="str">
        <f>エンティティ一覧!$O$2</f>
        <v>milscm_2023_010</v>
      </c>
      <c r="G740" s="41"/>
    </row>
    <row r="741" spans="2:23" ht="18.75" customHeight="1">
      <c r="C741" s="98"/>
      <c r="D741" s="99"/>
      <c r="E741" s="101"/>
      <c r="F741" s="37"/>
    </row>
    <row r="743" spans="2:23" ht="18.75" customHeight="1" thickBot="1">
      <c r="B743" s="42"/>
      <c r="C743" s="42"/>
      <c r="D743" s="42"/>
      <c r="E743" s="42"/>
      <c r="F743" s="42"/>
      <c r="G743" s="42"/>
      <c r="H743" s="42"/>
      <c r="I743" s="42"/>
      <c r="J743" s="42"/>
      <c r="K743" s="42"/>
      <c r="L743" s="42"/>
      <c r="M743" s="42"/>
      <c r="N743" s="42"/>
      <c r="O743" s="42"/>
      <c r="P743" s="42"/>
      <c r="Q743" s="42"/>
      <c r="R743" s="42"/>
      <c r="S743" s="42"/>
      <c r="T743" s="42"/>
      <c r="U743" s="42"/>
    </row>
    <row r="745" spans="2:23" ht="18.75" customHeight="1">
      <c r="B745" s="43" t="s">
        <v>163</v>
      </c>
      <c r="C745" s="51" t="s">
        <v>3671</v>
      </c>
      <c r="D745" s="90"/>
      <c r="W745" s="35" t="str">
        <f>"-- "&amp;B745&amp;" : "&amp;C745</f>
        <v>-- SQL_ID : 01_A6-43</v>
      </c>
    </row>
    <row r="746" spans="2:23" ht="18.75" customHeight="1">
      <c r="B746" s="43" t="s">
        <v>158</v>
      </c>
      <c r="C746" s="102" t="str">
        <f>R749&amp;"登録"</f>
        <v>バックアップ_MML_手術モジュール_診療科情報登録</v>
      </c>
      <c r="D746" s="103"/>
      <c r="E746" s="103"/>
      <c r="F746" s="103"/>
      <c r="G746" s="103"/>
      <c r="H746" s="103"/>
      <c r="I746" s="103"/>
      <c r="J746" s="103"/>
      <c r="K746" s="103"/>
      <c r="L746" s="103"/>
      <c r="M746" s="103"/>
      <c r="N746" s="103"/>
      <c r="O746" s="103"/>
      <c r="P746" s="103"/>
      <c r="Q746" s="103"/>
      <c r="R746" s="103"/>
      <c r="S746" s="103"/>
      <c r="T746" s="103"/>
      <c r="U746" s="104"/>
      <c r="W746" s="35" t="str">
        <f>"-- "&amp;C746</f>
        <v>-- バックアップ_MML_手術モジュール_診療科情報登録</v>
      </c>
    </row>
    <row r="747" spans="2:23" ht="18.75" customHeight="1">
      <c r="B747" s="43" t="s">
        <v>159</v>
      </c>
      <c r="C747" s="105" t="str">
        <f>C749&amp;"テーブルから組入れ条件の第一条件で絞り込んだ結果を"&amp;R749&amp;"テーブルに格納する。"</f>
        <v>MML_手術モジュール_診療科情報テーブルから組入れ条件の第一条件で絞り込んだ結果をバックアップ_MML_手術モジュール_診療科情報テーブルに格納する。</v>
      </c>
      <c r="D747" s="106"/>
      <c r="E747" s="106"/>
      <c r="F747" s="106"/>
      <c r="G747" s="106"/>
      <c r="H747" s="106"/>
      <c r="I747" s="106"/>
      <c r="J747" s="106"/>
      <c r="K747" s="106"/>
      <c r="L747" s="106"/>
      <c r="M747" s="106"/>
      <c r="N747" s="106"/>
      <c r="O747" s="106"/>
      <c r="P747" s="106"/>
      <c r="Q747" s="106"/>
      <c r="R747" s="106"/>
      <c r="S747" s="106"/>
      <c r="T747" s="106"/>
      <c r="U747" s="107"/>
      <c r="W747" s="35" t="str">
        <f>"-- "&amp;C747</f>
        <v>-- MML_手術モジュール_診療科情報テーブルから組入れ条件の第一条件で絞り込んだ結果をバックアップ_MML_手術モジュール_診療科情報テーブルに格納する。</v>
      </c>
    </row>
    <row r="749" spans="2:23" ht="18.75" customHeight="1">
      <c r="C749" s="96" t="s">
        <v>3672</v>
      </c>
      <c r="D749" s="97"/>
      <c r="E749" s="108" t="s">
        <v>162</v>
      </c>
      <c r="H749" s="36"/>
      <c r="I749" s="36"/>
      <c r="J749" s="36"/>
      <c r="K749" s="36"/>
      <c r="L749" s="36"/>
      <c r="M749" s="36"/>
      <c r="N749" s="36"/>
      <c r="O749" s="36"/>
      <c r="P749" s="36"/>
      <c r="Q749" s="36"/>
      <c r="R749" s="96" t="str">
        <f>"バックアップ_"&amp;SUBSTITUTE(C749,"_結合","")</f>
        <v>バックアップ_MML_手術モジュール_診療科情報</v>
      </c>
      <c r="S749" s="97"/>
      <c r="T749" s="100" t="str">
        <f>エンティティ一覧!$O$2</f>
        <v>milscm_2023_010</v>
      </c>
    </row>
    <row r="750" spans="2:23" ht="18.75" customHeight="1">
      <c r="C750" s="98"/>
      <c r="D750" s="99"/>
      <c r="E750" s="109"/>
      <c r="F750" s="37"/>
      <c r="G750" s="38"/>
      <c r="H750" s="37"/>
      <c r="I750" s="37"/>
      <c r="J750" s="37"/>
      <c r="K750" s="37"/>
      <c r="L750" s="37"/>
      <c r="M750" s="37"/>
      <c r="N750" s="37"/>
      <c r="O750" s="37"/>
      <c r="P750" s="37"/>
      <c r="Q750" s="37"/>
      <c r="R750" s="98"/>
      <c r="S750" s="99"/>
      <c r="T750" s="101"/>
    </row>
    <row r="751" spans="2:23" ht="18.75" customHeight="1">
      <c r="F751" s="39"/>
      <c r="G751" s="40"/>
    </row>
    <row r="752" spans="2:23" ht="18.75" customHeight="1">
      <c r="C752" s="96" t="s">
        <v>3229</v>
      </c>
      <c r="D752" s="97"/>
      <c r="E752" s="100" t="str">
        <f>エンティティ一覧!$O$2</f>
        <v>milscm_2023_010</v>
      </c>
      <c r="G752" s="41"/>
    </row>
    <row r="753" spans="2:23" ht="18.75" customHeight="1">
      <c r="C753" s="98"/>
      <c r="D753" s="99"/>
      <c r="E753" s="101"/>
      <c r="F753" s="37"/>
    </row>
    <row r="755" spans="2:23" ht="18.75" customHeight="1" thickBot="1">
      <c r="B755" s="42"/>
      <c r="C755" s="42"/>
      <c r="D755" s="42"/>
      <c r="E755" s="42"/>
      <c r="F755" s="42"/>
      <c r="G755" s="42"/>
      <c r="H755" s="42"/>
      <c r="I755" s="42"/>
      <c r="J755" s="42"/>
      <c r="K755" s="42"/>
      <c r="L755" s="42"/>
      <c r="M755" s="42"/>
      <c r="N755" s="42"/>
      <c r="O755" s="42"/>
      <c r="P755" s="42"/>
      <c r="Q755" s="42"/>
      <c r="R755" s="42"/>
      <c r="S755" s="42"/>
      <c r="T755" s="42"/>
      <c r="U755" s="42"/>
    </row>
    <row r="757" spans="2:23" ht="18.75" customHeight="1">
      <c r="B757" s="43" t="s">
        <v>163</v>
      </c>
      <c r="C757" s="51" t="s">
        <v>3673</v>
      </c>
      <c r="D757" s="90"/>
      <c r="W757" s="35" t="str">
        <f>"-- "&amp;B757&amp;" : "&amp;C757</f>
        <v>-- SQL_ID : 01_A6-44</v>
      </c>
    </row>
    <row r="758" spans="2:23" ht="18.75" customHeight="1">
      <c r="B758" s="43" t="s">
        <v>158</v>
      </c>
      <c r="C758" s="102" t="str">
        <f>R761&amp;"登録"</f>
        <v>バックアップ_MML_手術モジュール_診断履歴情報登録</v>
      </c>
      <c r="D758" s="103"/>
      <c r="E758" s="103"/>
      <c r="F758" s="103"/>
      <c r="G758" s="103"/>
      <c r="H758" s="103"/>
      <c r="I758" s="103"/>
      <c r="J758" s="103"/>
      <c r="K758" s="103"/>
      <c r="L758" s="103"/>
      <c r="M758" s="103"/>
      <c r="N758" s="103"/>
      <c r="O758" s="103"/>
      <c r="P758" s="103"/>
      <c r="Q758" s="103"/>
      <c r="R758" s="103"/>
      <c r="S758" s="103"/>
      <c r="T758" s="103"/>
      <c r="U758" s="104"/>
      <c r="W758" s="35" t="str">
        <f>"-- "&amp;C758</f>
        <v>-- バックアップ_MML_手術モジュール_診断履歴情報登録</v>
      </c>
    </row>
    <row r="759" spans="2:23" ht="18.75" customHeight="1">
      <c r="B759" s="43" t="s">
        <v>159</v>
      </c>
      <c r="C759" s="105" t="str">
        <f>C761&amp;"テーブルから組入れ条件の第一条件で絞り込んだ結果を"&amp;R761&amp;"テーブルに格納する。"</f>
        <v>MML_手術モジュール_診断履歴情報テーブルから組入れ条件の第一条件で絞り込んだ結果をバックアップ_MML_手術モジュール_診断履歴情報テーブルに格納する。</v>
      </c>
      <c r="D759" s="106"/>
      <c r="E759" s="106"/>
      <c r="F759" s="106"/>
      <c r="G759" s="106"/>
      <c r="H759" s="106"/>
      <c r="I759" s="106"/>
      <c r="J759" s="106"/>
      <c r="K759" s="106"/>
      <c r="L759" s="106"/>
      <c r="M759" s="106"/>
      <c r="N759" s="106"/>
      <c r="O759" s="106"/>
      <c r="P759" s="106"/>
      <c r="Q759" s="106"/>
      <c r="R759" s="106"/>
      <c r="S759" s="106"/>
      <c r="T759" s="106"/>
      <c r="U759" s="107"/>
      <c r="W759" s="35" t="str">
        <f>"-- "&amp;C759</f>
        <v>-- MML_手術モジュール_診断履歴情報テーブルから組入れ条件の第一条件で絞り込んだ結果をバックアップ_MML_手術モジュール_診断履歴情報テーブルに格納する。</v>
      </c>
    </row>
    <row r="761" spans="2:23" ht="18.75" customHeight="1">
      <c r="C761" s="96" t="s">
        <v>3674</v>
      </c>
      <c r="D761" s="97"/>
      <c r="E761" s="108" t="s">
        <v>162</v>
      </c>
      <c r="H761" s="36"/>
      <c r="I761" s="36"/>
      <c r="J761" s="36"/>
      <c r="K761" s="36"/>
      <c r="L761" s="36"/>
      <c r="M761" s="36"/>
      <c r="N761" s="36"/>
      <c r="O761" s="36"/>
      <c r="P761" s="36"/>
      <c r="Q761" s="36"/>
      <c r="R761" s="96" t="str">
        <f>"バックアップ_"&amp;SUBSTITUTE(C761,"_結合","")</f>
        <v>バックアップ_MML_手術モジュール_診断履歴情報</v>
      </c>
      <c r="S761" s="97"/>
      <c r="T761" s="100" t="str">
        <f>エンティティ一覧!$O$2</f>
        <v>milscm_2023_010</v>
      </c>
    </row>
    <row r="762" spans="2:23" ht="18.75" customHeight="1">
      <c r="C762" s="98"/>
      <c r="D762" s="99"/>
      <c r="E762" s="109"/>
      <c r="F762" s="37"/>
      <c r="G762" s="38"/>
      <c r="H762" s="37"/>
      <c r="I762" s="37"/>
      <c r="J762" s="37"/>
      <c r="K762" s="37"/>
      <c r="L762" s="37"/>
      <c r="M762" s="37"/>
      <c r="N762" s="37"/>
      <c r="O762" s="37"/>
      <c r="P762" s="37"/>
      <c r="Q762" s="37"/>
      <c r="R762" s="98"/>
      <c r="S762" s="99"/>
      <c r="T762" s="101"/>
    </row>
    <row r="763" spans="2:23" ht="18.75" customHeight="1">
      <c r="F763" s="39"/>
      <c r="G763" s="40"/>
    </row>
    <row r="764" spans="2:23" ht="18.75" customHeight="1">
      <c r="C764" s="96" t="s">
        <v>3229</v>
      </c>
      <c r="D764" s="97"/>
      <c r="E764" s="100" t="str">
        <f>エンティティ一覧!$O$2</f>
        <v>milscm_2023_010</v>
      </c>
      <c r="G764" s="41"/>
    </row>
    <row r="765" spans="2:23" ht="18.75" customHeight="1">
      <c r="C765" s="98"/>
      <c r="D765" s="99"/>
      <c r="E765" s="101"/>
      <c r="F765" s="37"/>
    </row>
    <row r="767" spans="2:23" ht="18.75" customHeight="1" thickBot="1">
      <c r="B767" s="42"/>
      <c r="C767" s="42"/>
      <c r="D767" s="42"/>
      <c r="E767" s="42"/>
      <c r="F767" s="42"/>
      <c r="G767" s="42"/>
      <c r="H767" s="42"/>
      <c r="I767" s="42"/>
      <c r="J767" s="42"/>
      <c r="K767" s="42"/>
      <c r="L767" s="42"/>
      <c r="M767" s="42"/>
      <c r="N767" s="42"/>
      <c r="O767" s="42"/>
      <c r="P767" s="42"/>
      <c r="Q767" s="42"/>
      <c r="R767" s="42"/>
      <c r="S767" s="42"/>
      <c r="T767" s="42"/>
      <c r="U767" s="42"/>
    </row>
    <row r="769" spans="2:23" ht="18.75" customHeight="1">
      <c r="B769" s="43" t="s">
        <v>163</v>
      </c>
      <c r="C769" s="51" t="s">
        <v>3675</v>
      </c>
      <c r="D769" s="90"/>
      <c r="W769" s="35" t="str">
        <f>"-- "&amp;B769&amp;" : "&amp;C769</f>
        <v>-- SQL_ID : 01_A6-45</v>
      </c>
    </row>
    <row r="770" spans="2:23" ht="18.75" customHeight="1">
      <c r="B770" s="43" t="s">
        <v>158</v>
      </c>
      <c r="C770" s="102" t="str">
        <f>R773&amp;"登録"</f>
        <v>バックアップ_MML_手術モジュール_病名登録</v>
      </c>
      <c r="D770" s="103"/>
      <c r="E770" s="103"/>
      <c r="F770" s="103"/>
      <c r="G770" s="103"/>
      <c r="H770" s="103"/>
      <c r="I770" s="103"/>
      <c r="J770" s="103"/>
      <c r="K770" s="103"/>
      <c r="L770" s="103"/>
      <c r="M770" s="103"/>
      <c r="N770" s="103"/>
      <c r="O770" s="103"/>
      <c r="P770" s="103"/>
      <c r="Q770" s="103"/>
      <c r="R770" s="103"/>
      <c r="S770" s="103"/>
      <c r="T770" s="103"/>
      <c r="U770" s="104"/>
      <c r="W770" s="35" t="str">
        <f>"-- "&amp;C770</f>
        <v>-- バックアップ_MML_手術モジュール_病名登録</v>
      </c>
    </row>
    <row r="771" spans="2:23" ht="18.75" customHeight="1">
      <c r="B771" s="43" t="s">
        <v>159</v>
      </c>
      <c r="C771" s="105" t="str">
        <f>C773&amp;"テーブルから組入れ条件の第一条件で絞り込んだ結果を"&amp;R773&amp;"テーブルに格納する。"</f>
        <v>MML_手術モジュール_病名テーブルから組入れ条件の第一条件で絞り込んだ結果をバックアップ_MML_手術モジュール_病名テーブルに格納する。</v>
      </c>
      <c r="D771" s="106"/>
      <c r="E771" s="106"/>
      <c r="F771" s="106"/>
      <c r="G771" s="106"/>
      <c r="H771" s="106"/>
      <c r="I771" s="106"/>
      <c r="J771" s="106"/>
      <c r="K771" s="106"/>
      <c r="L771" s="106"/>
      <c r="M771" s="106"/>
      <c r="N771" s="106"/>
      <c r="O771" s="106"/>
      <c r="P771" s="106"/>
      <c r="Q771" s="106"/>
      <c r="R771" s="106"/>
      <c r="S771" s="106"/>
      <c r="T771" s="106"/>
      <c r="U771" s="107"/>
      <c r="W771" s="35" t="str">
        <f>"-- "&amp;C771</f>
        <v>-- MML_手術モジュール_病名テーブルから組入れ条件の第一条件で絞り込んだ結果をバックアップ_MML_手術モジュール_病名テーブルに格納する。</v>
      </c>
    </row>
    <row r="773" spans="2:23" ht="18.75" customHeight="1">
      <c r="C773" s="96" t="s">
        <v>3676</v>
      </c>
      <c r="D773" s="97"/>
      <c r="E773" s="108" t="s">
        <v>162</v>
      </c>
      <c r="H773" s="36"/>
      <c r="I773" s="36"/>
      <c r="J773" s="36"/>
      <c r="K773" s="36"/>
      <c r="L773" s="36"/>
      <c r="M773" s="36"/>
      <c r="N773" s="36"/>
      <c r="O773" s="36"/>
      <c r="P773" s="36"/>
      <c r="Q773" s="36"/>
      <c r="R773" s="96" t="str">
        <f>"バックアップ_"&amp;SUBSTITUTE(C773,"_結合","")</f>
        <v>バックアップ_MML_手術モジュール_病名</v>
      </c>
      <c r="S773" s="97"/>
      <c r="T773" s="100" t="str">
        <f>エンティティ一覧!$O$2</f>
        <v>milscm_2023_010</v>
      </c>
    </row>
    <row r="774" spans="2:23" ht="18.75" customHeight="1">
      <c r="C774" s="98"/>
      <c r="D774" s="99"/>
      <c r="E774" s="109"/>
      <c r="F774" s="37"/>
      <c r="G774" s="38"/>
      <c r="H774" s="37"/>
      <c r="I774" s="37"/>
      <c r="J774" s="37"/>
      <c r="K774" s="37"/>
      <c r="L774" s="37"/>
      <c r="M774" s="37"/>
      <c r="N774" s="37"/>
      <c r="O774" s="37"/>
      <c r="P774" s="37"/>
      <c r="Q774" s="37"/>
      <c r="R774" s="98"/>
      <c r="S774" s="99"/>
      <c r="T774" s="101"/>
    </row>
    <row r="775" spans="2:23" ht="18.75" customHeight="1">
      <c r="F775" s="39"/>
      <c r="G775" s="40"/>
    </row>
    <row r="776" spans="2:23" ht="18.75" customHeight="1">
      <c r="C776" s="96" t="s">
        <v>3229</v>
      </c>
      <c r="D776" s="97"/>
      <c r="E776" s="100" t="str">
        <f>エンティティ一覧!$O$2</f>
        <v>milscm_2023_010</v>
      </c>
      <c r="G776" s="41"/>
    </row>
    <row r="777" spans="2:23" ht="18.75" customHeight="1">
      <c r="C777" s="98"/>
      <c r="D777" s="99"/>
      <c r="E777" s="101"/>
      <c r="F777" s="37"/>
    </row>
    <row r="779" spans="2:23" ht="18.75" customHeight="1" thickBot="1">
      <c r="B779" s="42"/>
      <c r="C779" s="42"/>
      <c r="D779" s="42"/>
      <c r="E779" s="42"/>
      <c r="F779" s="42"/>
      <c r="G779" s="42"/>
      <c r="H779" s="42"/>
      <c r="I779" s="42"/>
      <c r="J779" s="42"/>
      <c r="K779" s="42"/>
      <c r="L779" s="42"/>
      <c r="M779" s="42"/>
      <c r="N779" s="42"/>
      <c r="O779" s="42"/>
      <c r="P779" s="42"/>
      <c r="Q779" s="42"/>
      <c r="R779" s="42"/>
      <c r="S779" s="42"/>
      <c r="T779" s="42"/>
      <c r="U779" s="42"/>
    </row>
    <row r="781" spans="2:23" ht="18.75" customHeight="1">
      <c r="B781" s="43" t="s">
        <v>163</v>
      </c>
      <c r="C781" s="51" t="s">
        <v>3677</v>
      </c>
      <c r="D781" s="90"/>
      <c r="W781" s="35" t="str">
        <f>"-- "&amp;B781&amp;" : "&amp;C781</f>
        <v>-- SQL_ID : 01_A6-46</v>
      </c>
    </row>
    <row r="782" spans="2:23" ht="18.75" customHeight="1">
      <c r="B782" s="43" t="s">
        <v>158</v>
      </c>
      <c r="C782" s="102" t="str">
        <f>R785&amp;"登録"</f>
        <v>バックアップ_MML_手術モジュール_カテゴリ名登録</v>
      </c>
      <c r="D782" s="103"/>
      <c r="E782" s="103"/>
      <c r="F782" s="103"/>
      <c r="G782" s="103"/>
      <c r="H782" s="103"/>
      <c r="I782" s="103"/>
      <c r="J782" s="103"/>
      <c r="K782" s="103"/>
      <c r="L782" s="103"/>
      <c r="M782" s="103"/>
      <c r="N782" s="103"/>
      <c r="O782" s="103"/>
      <c r="P782" s="103"/>
      <c r="Q782" s="103"/>
      <c r="R782" s="103"/>
      <c r="S782" s="103"/>
      <c r="T782" s="103"/>
      <c r="U782" s="104"/>
      <c r="W782" s="35" t="str">
        <f>"-- "&amp;C782</f>
        <v>-- バックアップ_MML_手術モジュール_カテゴリ名登録</v>
      </c>
    </row>
    <row r="783" spans="2:23" ht="18.75" customHeight="1">
      <c r="B783" s="43" t="s">
        <v>159</v>
      </c>
      <c r="C783" s="105" t="str">
        <f>C785&amp;"テーブルから組入れ条件の第一条件で絞り込んだ結果を"&amp;R785&amp;"テーブルに格納する。"</f>
        <v>MML_手術モジュール_カテゴリ名テーブルから組入れ条件の第一条件で絞り込んだ結果をバックアップ_MML_手術モジュール_カテゴリ名テーブルに格納する。</v>
      </c>
      <c r="D783" s="106"/>
      <c r="E783" s="106"/>
      <c r="F783" s="106"/>
      <c r="G783" s="106"/>
      <c r="H783" s="106"/>
      <c r="I783" s="106"/>
      <c r="J783" s="106"/>
      <c r="K783" s="106"/>
      <c r="L783" s="106"/>
      <c r="M783" s="106"/>
      <c r="N783" s="106"/>
      <c r="O783" s="106"/>
      <c r="P783" s="106"/>
      <c r="Q783" s="106"/>
      <c r="R783" s="106"/>
      <c r="S783" s="106"/>
      <c r="T783" s="106"/>
      <c r="U783" s="107"/>
      <c r="W783" s="35" t="str">
        <f>"-- "&amp;C783</f>
        <v>-- MML_手術モジュール_カテゴリ名テーブルから組入れ条件の第一条件で絞り込んだ結果をバックアップ_MML_手術モジュール_カテゴリ名テーブルに格納する。</v>
      </c>
    </row>
    <row r="785" spans="2:23" ht="18.75" customHeight="1">
      <c r="C785" s="96" t="s">
        <v>3678</v>
      </c>
      <c r="D785" s="97"/>
      <c r="E785" s="108" t="s">
        <v>162</v>
      </c>
      <c r="H785" s="36"/>
      <c r="I785" s="36"/>
      <c r="J785" s="36"/>
      <c r="K785" s="36"/>
      <c r="L785" s="36"/>
      <c r="M785" s="36"/>
      <c r="N785" s="36"/>
      <c r="O785" s="36"/>
      <c r="P785" s="36"/>
      <c r="Q785" s="36"/>
      <c r="R785" s="96" t="str">
        <f>"バックアップ_"&amp;SUBSTITUTE(C785,"_結合","")</f>
        <v>バックアップ_MML_手術モジュール_カテゴリ名</v>
      </c>
      <c r="S785" s="97"/>
      <c r="T785" s="100" t="str">
        <f>エンティティ一覧!$O$2</f>
        <v>milscm_2023_010</v>
      </c>
    </row>
    <row r="786" spans="2:23" ht="18.75" customHeight="1">
      <c r="C786" s="98"/>
      <c r="D786" s="99"/>
      <c r="E786" s="109"/>
      <c r="F786" s="37"/>
      <c r="G786" s="38"/>
      <c r="H786" s="37"/>
      <c r="I786" s="37"/>
      <c r="J786" s="37"/>
      <c r="K786" s="37"/>
      <c r="L786" s="37"/>
      <c r="M786" s="37"/>
      <c r="N786" s="37"/>
      <c r="O786" s="37"/>
      <c r="P786" s="37"/>
      <c r="Q786" s="37"/>
      <c r="R786" s="98"/>
      <c r="S786" s="99"/>
      <c r="T786" s="101"/>
    </row>
    <row r="787" spans="2:23" ht="18.75" customHeight="1">
      <c r="F787" s="39"/>
      <c r="G787" s="40"/>
    </row>
    <row r="788" spans="2:23" ht="18.75" customHeight="1">
      <c r="C788" s="96" t="s">
        <v>3229</v>
      </c>
      <c r="D788" s="97"/>
      <c r="E788" s="100" t="str">
        <f>エンティティ一覧!$O$2</f>
        <v>milscm_2023_010</v>
      </c>
      <c r="G788" s="41"/>
    </row>
    <row r="789" spans="2:23" ht="18.75" customHeight="1">
      <c r="C789" s="98"/>
      <c r="D789" s="99"/>
      <c r="E789" s="101"/>
      <c r="F789" s="37"/>
    </row>
    <row r="791" spans="2:23" ht="18.75" customHeight="1" thickBot="1">
      <c r="B791" s="42"/>
      <c r="C791" s="42"/>
      <c r="D791" s="42"/>
      <c r="E791" s="42"/>
      <c r="F791" s="42"/>
      <c r="G791" s="42"/>
      <c r="H791" s="42"/>
      <c r="I791" s="42"/>
      <c r="J791" s="42"/>
      <c r="K791" s="42"/>
      <c r="L791" s="42"/>
      <c r="M791" s="42"/>
      <c r="N791" s="42"/>
      <c r="O791" s="42"/>
      <c r="P791" s="42"/>
      <c r="Q791" s="42"/>
      <c r="R791" s="42"/>
      <c r="S791" s="42"/>
      <c r="T791" s="42"/>
      <c r="U791" s="42"/>
    </row>
    <row r="793" spans="2:23" ht="18.75" customHeight="1">
      <c r="B793" s="43" t="s">
        <v>163</v>
      </c>
      <c r="C793" s="51" t="s">
        <v>3679</v>
      </c>
      <c r="D793" s="90"/>
      <c r="W793" s="35" t="str">
        <f>"-- "&amp;B793&amp;" : "&amp;C793</f>
        <v>-- SQL_ID : 01_A6-47</v>
      </c>
    </row>
    <row r="794" spans="2:23" ht="18.75" customHeight="1">
      <c r="B794" s="43" t="s">
        <v>158</v>
      </c>
      <c r="C794" s="102" t="str">
        <f>R797&amp;"登録"</f>
        <v>バックアップ_MML_手術モジュール_手術法登録</v>
      </c>
      <c r="D794" s="103"/>
      <c r="E794" s="103"/>
      <c r="F794" s="103"/>
      <c r="G794" s="103"/>
      <c r="H794" s="103"/>
      <c r="I794" s="103"/>
      <c r="J794" s="103"/>
      <c r="K794" s="103"/>
      <c r="L794" s="103"/>
      <c r="M794" s="103"/>
      <c r="N794" s="103"/>
      <c r="O794" s="103"/>
      <c r="P794" s="103"/>
      <c r="Q794" s="103"/>
      <c r="R794" s="103"/>
      <c r="S794" s="103"/>
      <c r="T794" s="103"/>
      <c r="U794" s="104"/>
      <c r="W794" s="35" t="str">
        <f>"-- "&amp;C794</f>
        <v>-- バックアップ_MML_手術モジュール_手術法登録</v>
      </c>
    </row>
    <row r="795" spans="2:23" ht="18.75" customHeight="1">
      <c r="B795" s="43" t="s">
        <v>159</v>
      </c>
      <c r="C795" s="105" t="str">
        <f>C797&amp;"テーブルから組入れ条件の第一条件で絞り込んだ結果を"&amp;R797&amp;"テーブルに格納する。"</f>
        <v>MML_手術モジュール_手術法テーブルから組入れ条件の第一条件で絞り込んだ結果をバックアップ_MML_手術モジュール_手術法テーブルに格納する。</v>
      </c>
      <c r="D795" s="106"/>
      <c r="E795" s="106"/>
      <c r="F795" s="106"/>
      <c r="G795" s="106"/>
      <c r="H795" s="106"/>
      <c r="I795" s="106"/>
      <c r="J795" s="106"/>
      <c r="K795" s="106"/>
      <c r="L795" s="106"/>
      <c r="M795" s="106"/>
      <c r="N795" s="106"/>
      <c r="O795" s="106"/>
      <c r="P795" s="106"/>
      <c r="Q795" s="106"/>
      <c r="R795" s="106"/>
      <c r="S795" s="106"/>
      <c r="T795" s="106"/>
      <c r="U795" s="107"/>
      <c r="W795" s="35" t="str">
        <f>"-- "&amp;C795</f>
        <v>-- MML_手術モジュール_手術法テーブルから組入れ条件の第一条件で絞り込んだ結果をバックアップ_MML_手術モジュール_手術法テーブルに格納する。</v>
      </c>
    </row>
    <row r="797" spans="2:23" ht="18.75" customHeight="1">
      <c r="C797" s="96" t="s">
        <v>3680</v>
      </c>
      <c r="D797" s="97"/>
      <c r="E797" s="108" t="s">
        <v>162</v>
      </c>
      <c r="H797" s="36"/>
      <c r="I797" s="36"/>
      <c r="J797" s="36"/>
      <c r="K797" s="36"/>
      <c r="L797" s="36"/>
      <c r="M797" s="36"/>
      <c r="N797" s="36"/>
      <c r="O797" s="36"/>
      <c r="P797" s="36"/>
      <c r="Q797" s="36"/>
      <c r="R797" s="96" t="str">
        <f>"バックアップ_"&amp;SUBSTITUTE(C797,"_結合","")</f>
        <v>バックアップ_MML_手術モジュール_手術法</v>
      </c>
      <c r="S797" s="97"/>
      <c r="T797" s="100" t="str">
        <f>エンティティ一覧!$O$2</f>
        <v>milscm_2023_010</v>
      </c>
    </row>
    <row r="798" spans="2:23" ht="18.75" customHeight="1">
      <c r="C798" s="98"/>
      <c r="D798" s="99"/>
      <c r="E798" s="109"/>
      <c r="F798" s="37"/>
      <c r="G798" s="38"/>
      <c r="H798" s="37"/>
      <c r="I798" s="37"/>
      <c r="J798" s="37"/>
      <c r="K798" s="37"/>
      <c r="L798" s="37"/>
      <c r="M798" s="37"/>
      <c r="N798" s="37"/>
      <c r="O798" s="37"/>
      <c r="P798" s="37"/>
      <c r="Q798" s="37"/>
      <c r="R798" s="98"/>
      <c r="S798" s="99"/>
      <c r="T798" s="101"/>
    </row>
    <row r="799" spans="2:23" ht="18.75" customHeight="1">
      <c r="F799" s="39"/>
      <c r="G799" s="40"/>
    </row>
    <row r="800" spans="2:23" ht="18.75" customHeight="1">
      <c r="C800" s="96" t="s">
        <v>3229</v>
      </c>
      <c r="D800" s="97"/>
      <c r="E800" s="100" t="str">
        <f>エンティティ一覧!$O$2</f>
        <v>milscm_2023_010</v>
      </c>
      <c r="G800" s="41"/>
    </row>
    <row r="801" spans="2:23" ht="18.75" customHeight="1">
      <c r="C801" s="98"/>
      <c r="D801" s="99"/>
      <c r="E801" s="101"/>
      <c r="F801" s="37"/>
    </row>
    <row r="803" spans="2:23" ht="18.75" customHeight="1" thickBot="1">
      <c r="B803" s="42"/>
      <c r="C803" s="42"/>
      <c r="D803" s="42"/>
      <c r="E803" s="42"/>
      <c r="F803" s="42"/>
      <c r="G803" s="42"/>
      <c r="H803" s="42"/>
      <c r="I803" s="42"/>
      <c r="J803" s="42"/>
      <c r="K803" s="42"/>
      <c r="L803" s="42"/>
      <c r="M803" s="42"/>
      <c r="N803" s="42"/>
      <c r="O803" s="42"/>
      <c r="P803" s="42"/>
      <c r="Q803" s="42"/>
      <c r="R803" s="42"/>
      <c r="S803" s="42"/>
      <c r="T803" s="42"/>
      <c r="U803" s="42"/>
    </row>
    <row r="805" spans="2:23" ht="18.75" customHeight="1">
      <c r="B805" s="43" t="s">
        <v>163</v>
      </c>
      <c r="C805" s="51" t="s">
        <v>3681</v>
      </c>
      <c r="D805" s="90"/>
      <c r="W805" s="35" t="str">
        <f>"-- "&amp;B805&amp;" : "&amp;C805</f>
        <v>-- SQL_ID : 01_A6-48</v>
      </c>
    </row>
    <row r="806" spans="2:23" ht="18.75" customHeight="1">
      <c r="B806" s="43" t="s">
        <v>158</v>
      </c>
      <c r="C806" s="102" t="str">
        <f>R809&amp;"登録"</f>
        <v>バックアップ_MML_手術モジュール_手術要素登録</v>
      </c>
      <c r="D806" s="103"/>
      <c r="E806" s="103"/>
      <c r="F806" s="103"/>
      <c r="G806" s="103"/>
      <c r="H806" s="103"/>
      <c r="I806" s="103"/>
      <c r="J806" s="103"/>
      <c r="K806" s="103"/>
      <c r="L806" s="103"/>
      <c r="M806" s="103"/>
      <c r="N806" s="103"/>
      <c r="O806" s="103"/>
      <c r="P806" s="103"/>
      <c r="Q806" s="103"/>
      <c r="R806" s="103"/>
      <c r="S806" s="103"/>
      <c r="T806" s="103"/>
      <c r="U806" s="104"/>
      <c r="W806" s="35" t="str">
        <f>"-- "&amp;C806</f>
        <v>-- バックアップ_MML_手術モジュール_手術要素登録</v>
      </c>
    </row>
    <row r="807" spans="2:23" ht="18.75" customHeight="1">
      <c r="B807" s="43" t="s">
        <v>159</v>
      </c>
      <c r="C807" s="105" t="str">
        <f>C809&amp;"テーブルから組入れ条件の第一条件で絞り込んだ結果を"&amp;R809&amp;"テーブルに格納する。"</f>
        <v>MML_手術モジュール_手術要素テーブルから組入れ条件の第一条件で絞り込んだ結果をバックアップ_MML_手術モジュール_手術要素テーブルに格納する。</v>
      </c>
      <c r="D807" s="106"/>
      <c r="E807" s="106"/>
      <c r="F807" s="106"/>
      <c r="G807" s="106"/>
      <c r="H807" s="106"/>
      <c r="I807" s="106"/>
      <c r="J807" s="106"/>
      <c r="K807" s="106"/>
      <c r="L807" s="106"/>
      <c r="M807" s="106"/>
      <c r="N807" s="106"/>
      <c r="O807" s="106"/>
      <c r="P807" s="106"/>
      <c r="Q807" s="106"/>
      <c r="R807" s="106"/>
      <c r="S807" s="106"/>
      <c r="T807" s="106"/>
      <c r="U807" s="107"/>
      <c r="W807" s="35" t="str">
        <f>"-- "&amp;C807</f>
        <v>-- MML_手術モジュール_手術要素テーブルから組入れ条件の第一条件で絞り込んだ結果をバックアップ_MML_手術モジュール_手術要素テーブルに格納する。</v>
      </c>
    </row>
    <row r="809" spans="2:23" ht="18.75" customHeight="1">
      <c r="C809" s="96" t="s">
        <v>3682</v>
      </c>
      <c r="D809" s="97"/>
      <c r="E809" s="108" t="s">
        <v>162</v>
      </c>
      <c r="H809" s="36"/>
      <c r="I809" s="36"/>
      <c r="J809" s="36"/>
      <c r="K809" s="36"/>
      <c r="L809" s="36"/>
      <c r="M809" s="36"/>
      <c r="N809" s="36"/>
      <c r="O809" s="36"/>
      <c r="P809" s="36"/>
      <c r="Q809" s="36"/>
      <c r="R809" s="96" t="str">
        <f>"バックアップ_"&amp;SUBSTITUTE(C809,"_結合","")</f>
        <v>バックアップ_MML_手術モジュール_手術要素</v>
      </c>
      <c r="S809" s="97"/>
      <c r="T809" s="100" t="str">
        <f>エンティティ一覧!$O$2</f>
        <v>milscm_2023_010</v>
      </c>
    </row>
    <row r="810" spans="2:23" ht="18.75" customHeight="1">
      <c r="C810" s="98"/>
      <c r="D810" s="99"/>
      <c r="E810" s="109"/>
      <c r="F810" s="37"/>
      <c r="G810" s="38"/>
      <c r="H810" s="37"/>
      <c r="I810" s="37"/>
      <c r="J810" s="37"/>
      <c r="K810" s="37"/>
      <c r="L810" s="37"/>
      <c r="M810" s="37"/>
      <c r="N810" s="37"/>
      <c r="O810" s="37"/>
      <c r="P810" s="37"/>
      <c r="Q810" s="37"/>
      <c r="R810" s="98"/>
      <c r="S810" s="99"/>
      <c r="T810" s="101"/>
    </row>
    <row r="811" spans="2:23" ht="18.75" customHeight="1">
      <c r="F811" s="39"/>
      <c r="G811" s="40"/>
    </row>
    <row r="812" spans="2:23" ht="18.75" customHeight="1">
      <c r="C812" s="96" t="s">
        <v>3229</v>
      </c>
      <c r="D812" s="97"/>
      <c r="E812" s="100" t="str">
        <f>エンティティ一覧!$O$2</f>
        <v>milscm_2023_010</v>
      </c>
      <c r="G812" s="41"/>
    </row>
    <row r="813" spans="2:23" ht="18.75" customHeight="1">
      <c r="C813" s="98"/>
      <c r="D813" s="99"/>
      <c r="E813" s="101"/>
      <c r="F813" s="37"/>
    </row>
    <row r="815" spans="2:23" ht="18.75" customHeight="1" thickBot="1">
      <c r="B815" s="42"/>
      <c r="C815" s="42"/>
      <c r="D815" s="42"/>
      <c r="E815" s="42"/>
      <c r="F815" s="42"/>
      <c r="G815" s="42"/>
      <c r="H815" s="42"/>
      <c r="I815" s="42"/>
      <c r="J815" s="42"/>
      <c r="K815" s="42"/>
      <c r="L815" s="42"/>
      <c r="M815" s="42"/>
      <c r="N815" s="42"/>
      <c r="O815" s="42"/>
      <c r="P815" s="42"/>
      <c r="Q815" s="42"/>
      <c r="R815" s="42"/>
      <c r="S815" s="42"/>
      <c r="T815" s="42"/>
      <c r="U815" s="42"/>
    </row>
    <row r="817" spans="2:23" ht="18.75" customHeight="1">
      <c r="B817" s="43" t="s">
        <v>163</v>
      </c>
      <c r="C817" s="51" t="s">
        <v>3683</v>
      </c>
      <c r="D817" s="90"/>
      <c r="W817" s="35" t="str">
        <f>"-- "&amp;B817&amp;" : "&amp;C817</f>
        <v>-- SQL_ID : 01_A6-49</v>
      </c>
    </row>
    <row r="818" spans="2:23" ht="18.75" customHeight="1">
      <c r="B818" s="43" t="s">
        <v>158</v>
      </c>
      <c r="C818" s="102" t="str">
        <f>R821&amp;"登録"</f>
        <v>バックアップ_MML_手術モジュール_麻酔法登録</v>
      </c>
      <c r="D818" s="103"/>
      <c r="E818" s="103"/>
      <c r="F818" s="103"/>
      <c r="G818" s="103"/>
      <c r="H818" s="103"/>
      <c r="I818" s="103"/>
      <c r="J818" s="103"/>
      <c r="K818" s="103"/>
      <c r="L818" s="103"/>
      <c r="M818" s="103"/>
      <c r="N818" s="103"/>
      <c r="O818" s="103"/>
      <c r="P818" s="103"/>
      <c r="Q818" s="103"/>
      <c r="R818" s="103"/>
      <c r="S818" s="103"/>
      <c r="T818" s="103"/>
      <c r="U818" s="104"/>
      <c r="W818" s="35" t="str">
        <f>"-- "&amp;C818</f>
        <v>-- バックアップ_MML_手術モジュール_麻酔法登録</v>
      </c>
    </row>
    <row r="819" spans="2:23" ht="18.75" customHeight="1">
      <c r="B819" s="43" t="s">
        <v>159</v>
      </c>
      <c r="C819" s="105" t="str">
        <f>C821&amp;"テーブルから組入れ条件の第一条件で絞り込んだ結果を"&amp;R821&amp;"テーブルに格納する。"</f>
        <v>MML_手術モジュール_麻酔法テーブルから組入れ条件の第一条件で絞り込んだ結果をバックアップ_MML_手術モジュール_麻酔法テーブルに格納する。</v>
      </c>
      <c r="D819" s="106"/>
      <c r="E819" s="106"/>
      <c r="F819" s="106"/>
      <c r="G819" s="106"/>
      <c r="H819" s="106"/>
      <c r="I819" s="106"/>
      <c r="J819" s="106"/>
      <c r="K819" s="106"/>
      <c r="L819" s="106"/>
      <c r="M819" s="106"/>
      <c r="N819" s="106"/>
      <c r="O819" s="106"/>
      <c r="P819" s="106"/>
      <c r="Q819" s="106"/>
      <c r="R819" s="106"/>
      <c r="S819" s="106"/>
      <c r="T819" s="106"/>
      <c r="U819" s="107"/>
      <c r="W819" s="35" t="str">
        <f>"-- "&amp;C819</f>
        <v>-- MML_手術モジュール_麻酔法テーブルから組入れ条件の第一条件で絞り込んだ結果をバックアップ_MML_手術モジュール_麻酔法テーブルに格納する。</v>
      </c>
    </row>
    <row r="821" spans="2:23" ht="18.75" customHeight="1">
      <c r="C821" s="96" t="s">
        <v>3684</v>
      </c>
      <c r="D821" s="97"/>
      <c r="E821" s="108" t="s">
        <v>162</v>
      </c>
      <c r="H821" s="36"/>
      <c r="I821" s="36"/>
      <c r="J821" s="36"/>
      <c r="K821" s="36"/>
      <c r="L821" s="36"/>
      <c r="M821" s="36"/>
      <c r="N821" s="36"/>
      <c r="O821" s="36"/>
      <c r="P821" s="36"/>
      <c r="Q821" s="36"/>
      <c r="R821" s="96" t="str">
        <f>"バックアップ_"&amp;SUBSTITUTE(C821,"_結合","")</f>
        <v>バックアップ_MML_手術モジュール_麻酔法</v>
      </c>
      <c r="S821" s="97"/>
      <c r="T821" s="100" t="str">
        <f>エンティティ一覧!$O$2</f>
        <v>milscm_2023_010</v>
      </c>
    </row>
    <row r="822" spans="2:23" ht="18.75" customHeight="1">
      <c r="C822" s="98"/>
      <c r="D822" s="99"/>
      <c r="E822" s="109"/>
      <c r="F822" s="37"/>
      <c r="G822" s="38"/>
      <c r="H822" s="37"/>
      <c r="I822" s="37"/>
      <c r="J822" s="37"/>
      <c r="K822" s="37"/>
      <c r="L822" s="37"/>
      <c r="M822" s="37"/>
      <c r="N822" s="37"/>
      <c r="O822" s="37"/>
      <c r="P822" s="37"/>
      <c r="Q822" s="37"/>
      <c r="R822" s="98"/>
      <c r="S822" s="99"/>
      <c r="T822" s="101"/>
    </row>
    <row r="823" spans="2:23" ht="18.75" customHeight="1">
      <c r="F823" s="39"/>
      <c r="G823" s="40"/>
    </row>
    <row r="824" spans="2:23" ht="18.75" customHeight="1">
      <c r="C824" s="96" t="s">
        <v>3229</v>
      </c>
      <c r="D824" s="97"/>
      <c r="E824" s="100" t="str">
        <f>エンティティ一覧!$O$2</f>
        <v>milscm_2023_010</v>
      </c>
      <c r="G824" s="41"/>
    </row>
    <row r="825" spans="2:23" ht="18.75" customHeight="1">
      <c r="C825" s="98"/>
      <c r="D825" s="99"/>
      <c r="E825" s="101"/>
      <c r="F825" s="37"/>
    </row>
    <row r="827" spans="2:23" ht="18.75" customHeight="1" thickBot="1">
      <c r="B827" s="42"/>
      <c r="C827" s="42"/>
      <c r="D827" s="42"/>
      <c r="E827" s="42"/>
      <c r="F827" s="42"/>
      <c r="G827" s="42"/>
      <c r="H827" s="42"/>
      <c r="I827" s="42"/>
      <c r="J827" s="42"/>
      <c r="K827" s="42"/>
      <c r="L827" s="42"/>
      <c r="M827" s="42"/>
      <c r="N827" s="42"/>
      <c r="O827" s="42"/>
      <c r="P827" s="42"/>
      <c r="Q827" s="42"/>
      <c r="R827" s="42"/>
      <c r="S827" s="42"/>
      <c r="T827" s="42"/>
      <c r="U827" s="42"/>
    </row>
    <row r="829" spans="2:23" ht="18.75" customHeight="1">
      <c r="B829" s="43" t="s">
        <v>163</v>
      </c>
      <c r="C829" s="51" t="s">
        <v>3685</v>
      </c>
      <c r="D829" s="90"/>
      <c r="W829" s="35" t="str">
        <f>"-- "&amp;B829&amp;" : "&amp;C829</f>
        <v>-- SQL_ID : 01_A6-50</v>
      </c>
    </row>
    <row r="830" spans="2:23" ht="18.75" customHeight="1">
      <c r="B830" s="43" t="s">
        <v>158</v>
      </c>
      <c r="C830" s="102" t="str">
        <f>R833&amp;"登録"</f>
        <v>バックアップ_MML_報告書情報モジュール_本文登録</v>
      </c>
      <c r="D830" s="103"/>
      <c r="E830" s="103"/>
      <c r="F830" s="103"/>
      <c r="G830" s="103"/>
      <c r="H830" s="103"/>
      <c r="I830" s="103"/>
      <c r="J830" s="103"/>
      <c r="K830" s="103"/>
      <c r="L830" s="103"/>
      <c r="M830" s="103"/>
      <c r="N830" s="103"/>
      <c r="O830" s="103"/>
      <c r="P830" s="103"/>
      <c r="Q830" s="103"/>
      <c r="R830" s="103"/>
      <c r="S830" s="103"/>
      <c r="T830" s="103"/>
      <c r="U830" s="104"/>
      <c r="W830" s="35" t="str">
        <f>"-- "&amp;C830</f>
        <v>-- バックアップ_MML_報告書情報モジュール_本文登録</v>
      </c>
    </row>
    <row r="831" spans="2:23" ht="18.75" customHeight="1">
      <c r="B831" s="43" t="s">
        <v>159</v>
      </c>
      <c r="C831" s="105" t="str">
        <f>C833&amp;"テーブルから組入れ条件の第一条件で絞り込んだ結果を"&amp;R833&amp;"テーブルに格納する。"</f>
        <v>MML_報告書情報モジュール_本文テーブルから組入れ条件の第一条件で絞り込んだ結果をバックアップ_MML_報告書情報モジュール_本文テーブルに格納する。</v>
      </c>
      <c r="D831" s="106"/>
      <c r="E831" s="106"/>
      <c r="F831" s="106"/>
      <c r="G831" s="106"/>
      <c r="H831" s="106"/>
      <c r="I831" s="106"/>
      <c r="J831" s="106"/>
      <c r="K831" s="106"/>
      <c r="L831" s="106"/>
      <c r="M831" s="106"/>
      <c r="N831" s="106"/>
      <c r="O831" s="106"/>
      <c r="P831" s="106"/>
      <c r="Q831" s="106"/>
      <c r="R831" s="106"/>
      <c r="S831" s="106"/>
      <c r="T831" s="106"/>
      <c r="U831" s="107"/>
      <c r="W831" s="35" t="str">
        <f>"-- "&amp;C831</f>
        <v>-- MML_報告書情報モジュール_本文テーブルから組入れ条件の第一条件で絞り込んだ結果をバックアップ_MML_報告書情報モジュール_本文テーブルに格納する。</v>
      </c>
    </row>
    <row r="833" spans="2:23" ht="18.75" customHeight="1">
      <c r="C833" s="96" t="s">
        <v>3686</v>
      </c>
      <c r="D833" s="97"/>
      <c r="E833" s="108" t="s">
        <v>162</v>
      </c>
      <c r="H833" s="36"/>
      <c r="I833" s="36"/>
      <c r="J833" s="36"/>
      <c r="K833" s="36"/>
      <c r="L833" s="36"/>
      <c r="M833" s="36"/>
      <c r="N833" s="36"/>
      <c r="O833" s="36"/>
      <c r="P833" s="36"/>
      <c r="Q833" s="36"/>
      <c r="R833" s="96" t="str">
        <f>"バックアップ_"&amp;SUBSTITUTE(C833,"_結合","")</f>
        <v>バックアップ_MML_報告書情報モジュール_本文</v>
      </c>
      <c r="S833" s="97"/>
      <c r="T833" s="100" t="str">
        <f>エンティティ一覧!$O$2</f>
        <v>milscm_2023_010</v>
      </c>
    </row>
    <row r="834" spans="2:23" ht="18.75" customHeight="1">
      <c r="C834" s="98"/>
      <c r="D834" s="99"/>
      <c r="E834" s="109"/>
      <c r="F834" s="37"/>
      <c r="G834" s="38"/>
      <c r="H834" s="37"/>
      <c r="I834" s="37"/>
      <c r="J834" s="37"/>
      <c r="K834" s="37"/>
      <c r="L834" s="37"/>
      <c r="M834" s="37"/>
      <c r="N834" s="37"/>
      <c r="O834" s="37"/>
      <c r="P834" s="37"/>
      <c r="Q834" s="37"/>
      <c r="R834" s="98"/>
      <c r="S834" s="99"/>
      <c r="T834" s="101"/>
    </row>
    <row r="835" spans="2:23" ht="18.75" customHeight="1">
      <c r="F835" s="39"/>
      <c r="G835" s="40"/>
    </row>
    <row r="836" spans="2:23" ht="18.75" customHeight="1">
      <c r="C836" s="96" t="s">
        <v>3229</v>
      </c>
      <c r="D836" s="97"/>
      <c r="E836" s="100" t="str">
        <f>エンティティ一覧!$O$2</f>
        <v>milscm_2023_010</v>
      </c>
      <c r="G836" s="41"/>
    </row>
    <row r="837" spans="2:23" ht="18.75" customHeight="1">
      <c r="C837" s="98"/>
      <c r="D837" s="99"/>
      <c r="E837" s="101"/>
      <c r="F837" s="37"/>
    </row>
    <row r="839" spans="2:23" ht="18.75" customHeight="1" thickBot="1">
      <c r="B839" s="42"/>
      <c r="C839" s="42"/>
      <c r="D839" s="42"/>
      <c r="E839" s="42"/>
      <c r="F839" s="42"/>
      <c r="G839" s="42"/>
      <c r="H839" s="42"/>
      <c r="I839" s="42"/>
      <c r="J839" s="42"/>
      <c r="K839" s="42"/>
      <c r="L839" s="42"/>
      <c r="M839" s="42"/>
      <c r="N839" s="42"/>
      <c r="O839" s="42"/>
      <c r="P839" s="42"/>
      <c r="Q839" s="42"/>
      <c r="R839" s="42"/>
      <c r="S839" s="42"/>
      <c r="T839" s="42"/>
      <c r="U839" s="42"/>
    </row>
    <row r="841" spans="2:23" ht="18.75" customHeight="1">
      <c r="B841" s="43" t="s">
        <v>163</v>
      </c>
      <c r="C841" s="51" t="s">
        <v>3687</v>
      </c>
      <c r="D841" s="90"/>
      <c r="W841" s="35" t="str">
        <f>"-- "&amp;B841&amp;" : "&amp;C841</f>
        <v>-- SQL_ID : 01_A6-51</v>
      </c>
    </row>
    <row r="842" spans="2:23" ht="18.75" customHeight="1">
      <c r="B842" s="43" t="s">
        <v>158</v>
      </c>
      <c r="C842" s="102" t="str">
        <f>R845&amp;"登録"</f>
        <v>バックアップ_MML_報告書情報モジュール_検査コメント登録</v>
      </c>
      <c r="D842" s="103"/>
      <c r="E842" s="103"/>
      <c r="F842" s="103"/>
      <c r="G842" s="103"/>
      <c r="H842" s="103"/>
      <c r="I842" s="103"/>
      <c r="J842" s="103"/>
      <c r="K842" s="103"/>
      <c r="L842" s="103"/>
      <c r="M842" s="103"/>
      <c r="N842" s="103"/>
      <c r="O842" s="103"/>
      <c r="P842" s="103"/>
      <c r="Q842" s="103"/>
      <c r="R842" s="103"/>
      <c r="S842" s="103"/>
      <c r="T842" s="103"/>
      <c r="U842" s="104"/>
      <c r="W842" s="35" t="str">
        <f>"-- "&amp;C842</f>
        <v>-- バックアップ_MML_報告書情報モジュール_検査コメント登録</v>
      </c>
    </row>
    <row r="843" spans="2:23" ht="18.75" customHeight="1">
      <c r="B843" s="43" t="s">
        <v>159</v>
      </c>
      <c r="C843" s="105" t="str">
        <f>C845&amp;"テーブルから組入れ条件の第一条件で絞り込んだ結果を"&amp;R845&amp;"テーブルに格納する。"</f>
        <v>MML_報告書情報モジュール_検査コメントテーブルから組入れ条件の第一条件で絞り込んだ結果をバックアップ_MML_報告書情報モジュール_検査コメントテーブルに格納する。</v>
      </c>
      <c r="D843" s="106"/>
      <c r="E843" s="106"/>
      <c r="F843" s="106"/>
      <c r="G843" s="106"/>
      <c r="H843" s="106"/>
      <c r="I843" s="106"/>
      <c r="J843" s="106"/>
      <c r="K843" s="106"/>
      <c r="L843" s="106"/>
      <c r="M843" s="106"/>
      <c r="N843" s="106"/>
      <c r="O843" s="106"/>
      <c r="P843" s="106"/>
      <c r="Q843" s="106"/>
      <c r="R843" s="106"/>
      <c r="S843" s="106"/>
      <c r="T843" s="106"/>
      <c r="U843" s="107"/>
      <c r="W843" s="35" t="str">
        <f>"-- "&amp;C843</f>
        <v>-- MML_報告書情報モジュール_検査コメントテーブルから組入れ条件の第一条件で絞り込んだ結果をバックアップ_MML_報告書情報モジュール_検査コメントテーブルに格納する。</v>
      </c>
    </row>
    <row r="845" spans="2:23" ht="18.75" customHeight="1">
      <c r="C845" s="96" t="s">
        <v>3688</v>
      </c>
      <c r="D845" s="97"/>
      <c r="E845" s="108" t="s">
        <v>162</v>
      </c>
      <c r="H845" s="36"/>
      <c r="I845" s="36"/>
      <c r="J845" s="36"/>
      <c r="K845" s="36"/>
      <c r="L845" s="36"/>
      <c r="M845" s="36"/>
      <c r="N845" s="36"/>
      <c r="O845" s="36"/>
      <c r="P845" s="36"/>
      <c r="Q845" s="36"/>
      <c r="R845" s="114" t="str">
        <f>"バックアップ_"&amp;SUBSTITUTE(C845,"_結合","")</f>
        <v>バックアップ_MML_報告書情報モジュール_検査コメント</v>
      </c>
      <c r="S845" s="115"/>
      <c r="T845" s="100" t="str">
        <f>エンティティ一覧!$O$2</f>
        <v>milscm_2023_010</v>
      </c>
    </row>
    <row r="846" spans="2:23" ht="18.75" customHeight="1">
      <c r="C846" s="98"/>
      <c r="D846" s="99"/>
      <c r="E846" s="109"/>
      <c r="F846" s="37"/>
      <c r="G846" s="38"/>
      <c r="H846" s="37"/>
      <c r="I846" s="37"/>
      <c r="J846" s="37"/>
      <c r="K846" s="37"/>
      <c r="L846" s="37"/>
      <c r="M846" s="37"/>
      <c r="N846" s="37"/>
      <c r="O846" s="37"/>
      <c r="P846" s="37"/>
      <c r="Q846" s="37"/>
      <c r="R846" s="116"/>
      <c r="S846" s="117"/>
      <c r="T846" s="101"/>
    </row>
    <row r="847" spans="2:23" ht="18.75" customHeight="1">
      <c r="F847" s="39"/>
      <c r="G847" s="40"/>
    </row>
    <row r="848" spans="2:23" ht="18.75" customHeight="1">
      <c r="C848" s="96" t="s">
        <v>3229</v>
      </c>
      <c r="D848" s="97"/>
      <c r="E848" s="100" t="str">
        <f>エンティティ一覧!$O$2</f>
        <v>milscm_2023_010</v>
      </c>
      <c r="G848" s="41"/>
    </row>
    <row r="849" spans="2:23" ht="18.75" customHeight="1">
      <c r="C849" s="98"/>
      <c r="D849" s="99"/>
      <c r="E849" s="101"/>
      <c r="F849" s="37"/>
    </row>
    <row r="851" spans="2:23" ht="18.75" customHeight="1" thickBot="1">
      <c r="B851" s="42"/>
      <c r="C851" s="42"/>
      <c r="D851" s="42"/>
      <c r="E851" s="42"/>
      <c r="F851" s="42"/>
      <c r="G851" s="42"/>
      <c r="H851" s="42"/>
      <c r="I851" s="42"/>
      <c r="J851" s="42"/>
      <c r="K851" s="42"/>
      <c r="L851" s="42"/>
      <c r="M851" s="42"/>
      <c r="N851" s="42"/>
      <c r="O851" s="42"/>
      <c r="P851" s="42"/>
      <c r="Q851" s="42"/>
      <c r="R851" s="42"/>
      <c r="S851" s="42"/>
      <c r="T851" s="42"/>
      <c r="U851" s="42"/>
    </row>
    <row r="853" spans="2:23" ht="18.75" customHeight="1">
      <c r="B853" s="43" t="s">
        <v>163</v>
      </c>
      <c r="C853" s="51" t="s">
        <v>3689</v>
      </c>
      <c r="D853" s="90"/>
      <c r="W853" s="35" t="str">
        <f>"-- "&amp;B853&amp;" : "&amp;C853</f>
        <v>-- SQL_ID : 01_A6-52</v>
      </c>
    </row>
    <row r="854" spans="2:23" ht="18.75" customHeight="1">
      <c r="B854" s="43" t="s">
        <v>158</v>
      </c>
      <c r="C854" s="102" t="str">
        <f>R857&amp;"登録"</f>
        <v>バックアップ_MML_生活習慣情報モジュール_本文登録</v>
      </c>
      <c r="D854" s="103"/>
      <c r="E854" s="103"/>
      <c r="F854" s="103"/>
      <c r="G854" s="103"/>
      <c r="H854" s="103"/>
      <c r="I854" s="103"/>
      <c r="J854" s="103"/>
      <c r="K854" s="103"/>
      <c r="L854" s="103"/>
      <c r="M854" s="103"/>
      <c r="N854" s="103"/>
      <c r="O854" s="103"/>
      <c r="P854" s="103"/>
      <c r="Q854" s="103"/>
      <c r="R854" s="103"/>
      <c r="S854" s="103"/>
      <c r="T854" s="103"/>
      <c r="U854" s="104"/>
      <c r="W854" s="35" t="str">
        <f>"-- "&amp;C854</f>
        <v>-- バックアップ_MML_生活習慣情報モジュール_本文登録</v>
      </c>
    </row>
    <row r="855" spans="2:23" ht="18.75" customHeight="1">
      <c r="B855" s="43" t="s">
        <v>159</v>
      </c>
      <c r="C855" s="105" t="str">
        <f>C857&amp;"テーブルから組入れ条件の第一条件で絞り込んだ結果を"&amp;R857&amp;"テーブルに格納する。"</f>
        <v>MML_生活習慣情報モジュール_本文テーブルから組入れ条件の第一条件で絞り込んだ結果をバックアップ_MML_生活習慣情報モジュール_本文テーブルに格納する。</v>
      </c>
      <c r="D855" s="106"/>
      <c r="E855" s="106"/>
      <c r="F855" s="106"/>
      <c r="G855" s="106"/>
      <c r="H855" s="106"/>
      <c r="I855" s="106"/>
      <c r="J855" s="106"/>
      <c r="K855" s="106"/>
      <c r="L855" s="106"/>
      <c r="M855" s="106"/>
      <c r="N855" s="106"/>
      <c r="O855" s="106"/>
      <c r="P855" s="106"/>
      <c r="Q855" s="106"/>
      <c r="R855" s="106"/>
      <c r="S855" s="106"/>
      <c r="T855" s="106"/>
      <c r="U855" s="107"/>
      <c r="W855" s="35" t="str">
        <f>"-- "&amp;C855</f>
        <v>-- MML_生活習慣情報モジュール_本文テーブルから組入れ条件の第一条件で絞り込んだ結果をバックアップ_MML_生活習慣情報モジュール_本文テーブルに格納する。</v>
      </c>
    </row>
    <row r="857" spans="2:23" ht="18.75" customHeight="1">
      <c r="C857" s="96" t="s">
        <v>3690</v>
      </c>
      <c r="D857" s="97"/>
      <c r="E857" s="108" t="s">
        <v>162</v>
      </c>
      <c r="H857" s="36"/>
      <c r="I857" s="36"/>
      <c r="J857" s="36"/>
      <c r="K857" s="36"/>
      <c r="L857" s="36"/>
      <c r="M857" s="36"/>
      <c r="N857" s="36"/>
      <c r="O857" s="36"/>
      <c r="P857" s="36"/>
      <c r="Q857" s="36"/>
      <c r="R857" s="96" t="str">
        <f>"バックアップ_"&amp;SUBSTITUTE(C857,"_結合","")</f>
        <v>バックアップ_MML_生活習慣情報モジュール_本文</v>
      </c>
      <c r="S857" s="97"/>
      <c r="T857" s="100" t="str">
        <f>エンティティ一覧!$O$2</f>
        <v>milscm_2023_010</v>
      </c>
    </row>
    <row r="858" spans="2:23" ht="18.75" customHeight="1">
      <c r="C858" s="98"/>
      <c r="D858" s="99"/>
      <c r="E858" s="109"/>
      <c r="F858" s="37"/>
      <c r="G858" s="38"/>
      <c r="H858" s="37"/>
      <c r="I858" s="37"/>
      <c r="J858" s="37"/>
      <c r="K858" s="37"/>
      <c r="L858" s="37"/>
      <c r="M858" s="37"/>
      <c r="N858" s="37"/>
      <c r="O858" s="37"/>
      <c r="P858" s="37"/>
      <c r="Q858" s="37"/>
      <c r="R858" s="98"/>
      <c r="S858" s="99"/>
      <c r="T858" s="101"/>
    </row>
    <row r="859" spans="2:23" ht="18.75" customHeight="1">
      <c r="F859" s="39"/>
      <c r="G859" s="40"/>
    </row>
    <row r="860" spans="2:23" ht="18.75" customHeight="1">
      <c r="C860" s="96" t="s">
        <v>3229</v>
      </c>
      <c r="D860" s="97"/>
      <c r="E860" s="100" t="str">
        <f>エンティティ一覧!$O$2</f>
        <v>milscm_2023_010</v>
      </c>
      <c r="G860" s="41"/>
    </row>
    <row r="861" spans="2:23" ht="18.75" customHeight="1">
      <c r="C861" s="98"/>
      <c r="D861" s="99"/>
      <c r="E861" s="101"/>
      <c r="F861" s="37"/>
    </row>
    <row r="863" spans="2:23" ht="18.75" customHeight="1" thickBot="1">
      <c r="B863" s="42"/>
      <c r="C863" s="42"/>
      <c r="D863" s="42"/>
      <c r="E863" s="42"/>
      <c r="F863" s="42"/>
      <c r="G863" s="42"/>
      <c r="H863" s="42"/>
      <c r="I863" s="42"/>
      <c r="J863" s="42"/>
      <c r="K863" s="42"/>
      <c r="L863" s="42"/>
      <c r="M863" s="42"/>
      <c r="N863" s="42"/>
      <c r="O863" s="42"/>
      <c r="P863" s="42"/>
      <c r="Q863" s="42"/>
      <c r="R863" s="42"/>
      <c r="S863" s="42"/>
      <c r="T863" s="42"/>
      <c r="U863" s="42"/>
    </row>
    <row r="865" spans="2:23" ht="18.75" customHeight="1">
      <c r="B865" s="43" t="s">
        <v>163</v>
      </c>
      <c r="C865" s="51" t="s">
        <v>3691</v>
      </c>
      <c r="D865" s="90"/>
      <c r="W865" s="35" t="str">
        <f>"-- "&amp;B865&amp;" : "&amp;C865</f>
        <v>-- SQL_ID : 01_A6-53</v>
      </c>
    </row>
    <row r="866" spans="2:23" ht="18.75" customHeight="1">
      <c r="B866" s="43" t="s">
        <v>158</v>
      </c>
      <c r="C866" s="102" t="str">
        <f>R869&amp;"登録"</f>
        <v>バックアップ_MML_紹介状モジュール_本文登録</v>
      </c>
      <c r="D866" s="103"/>
      <c r="E866" s="103"/>
      <c r="F866" s="103"/>
      <c r="G866" s="103"/>
      <c r="H866" s="103"/>
      <c r="I866" s="103"/>
      <c r="J866" s="103"/>
      <c r="K866" s="103"/>
      <c r="L866" s="103"/>
      <c r="M866" s="103"/>
      <c r="N866" s="103"/>
      <c r="O866" s="103"/>
      <c r="P866" s="103"/>
      <c r="Q866" s="103"/>
      <c r="R866" s="103"/>
      <c r="S866" s="103"/>
      <c r="T866" s="103"/>
      <c r="U866" s="104"/>
      <c r="W866" s="35" t="str">
        <f>"-- "&amp;C866</f>
        <v>-- バックアップ_MML_紹介状モジュール_本文登録</v>
      </c>
    </row>
    <row r="867" spans="2:23" ht="18.75" customHeight="1">
      <c r="B867" s="43" t="s">
        <v>159</v>
      </c>
      <c r="C867" s="105" t="str">
        <f>C869&amp;"テーブルから組入れ条件の第一条件で絞り込んだ結果を"&amp;R869&amp;"テーブルに格納する。"</f>
        <v>MML_紹介状モジュール_本文テーブルから組入れ条件の第一条件で絞り込んだ結果をバックアップ_MML_紹介状モジュール_本文テーブルに格納する。</v>
      </c>
      <c r="D867" s="106"/>
      <c r="E867" s="106"/>
      <c r="F867" s="106"/>
      <c r="G867" s="106"/>
      <c r="H867" s="106"/>
      <c r="I867" s="106"/>
      <c r="J867" s="106"/>
      <c r="K867" s="106"/>
      <c r="L867" s="106"/>
      <c r="M867" s="106"/>
      <c r="N867" s="106"/>
      <c r="O867" s="106"/>
      <c r="P867" s="106"/>
      <c r="Q867" s="106"/>
      <c r="R867" s="106"/>
      <c r="S867" s="106"/>
      <c r="T867" s="106"/>
      <c r="U867" s="107"/>
      <c r="W867" s="35" t="str">
        <f>"-- "&amp;C867</f>
        <v>-- MML_紹介状モジュール_本文テーブルから組入れ条件の第一条件で絞り込んだ結果をバックアップ_MML_紹介状モジュール_本文テーブルに格納する。</v>
      </c>
    </row>
    <row r="869" spans="2:23" ht="18.75" customHeight="1">
      <c r="C869" s="96" t="s">
        <v>3692</v>
      </c>
      <c r="D869" s="97"/>
      <c r="E869" s="108" t="s">
        <v>162</v>
      </c>
      <c r="H869" s="36"/>
      <c r="I869" s="36"/>
      <c r="J869" s="36"/>
      <c r="K869" s="36"/>
      <c r="L869" s="36"/>
      <c r="M869" s="36"/>
      <c r="N869" s="36"/>
      <c r="O869" s="36"/>
      <c r="P869" s="36"/>
      <c r="Q869" s="36"/>
      <c r="R869" s="96" t="str">
        <f>"バックアップ_"&amp;SUBSTITUTE(C869,"_結合","")</f>
        <v>バックアップ_MML_紹介状モジュール_本文</v>
      </c>
      <c r="S869" s="97"/>
      <c r="T869" s="100" t="str">
        <f>エンティティ一覧!$O$2</f>
        <v>milscm_2023_010</v>
      </c>
    </row>
    <row r="870" spans="2:23" ht="18.75" customHeight="1">
      <c r="C870" s="98"/>
      <c r="D870" s="99"/>
      <c r="E870" s="109"/>
      <c r="F870" s="37"/>
      <c r="G870" s="38"/>
      <c r="H870" s="37"/>
      <c r="I870" s="37"/>
      <c r="J870" s="37"/>
      <c r="K870" s="37"/>
      <c r="L870" s="37"/>
      <c r="M870" s="37"/>
      <c r="N870" s="37"/>
      <c r="O870" s="37"/>
      <c r="P870" s="37"/>
      <c r="Q870" s="37"/>
      <c r="R870" s="98"/>
      <c r="S870" s="99"/>
      <c r="T870" s="101"/>
    </row>
    <row r="871" spans="2:23" ht="18.75" customHeight="1">
      <c r="F871" s="39"/>
      <c r="G871" s="40"/>
    </row>
    <row r="872" spans="2:23" ht="18.75" customHeight="1">
      <c r="C872" s="96" t="s">
        <v>3229</v>
      </c>
      <c r="D872" s="97"/>
      <c r="E872" s="100" t="str">
        <f>エンティティ一覧!$O$2</f>
        <v>milscm_2023_010</v>
      </c>
      <c r="G872" s="41"/>
    </row>
    <row r="873" spans="2:23" ht="18.75" customHeight="1">
      <c r="C873" s="98"/>
      <c r="D873" s="99"/>
      <c r="E873" s="101"/>
      <c r="F873" s="37"/>
    </row>
    <row r="875" spans="2:23" ht="18.75" customHeight="1" thickBot="1">
      <c r="B875" s="42"/>
      <c r="C875" s="42"/>
      <c r="D875" s="42"/>
      <c r="E875" s="42"/>
      <c r="F875" s="42"/>
      <c r="G875" s="42"/>
      <c r="H875" s="42"/>
      <c r="I875" s="42"/>
      <c r="J875" s="42"/>
      <c r="K875" s="42"/>
      <c r="L875" s="42"/>
      <c r="M875" s="42"/>
      <c r="N875" s="42"/>
      <c r="O875" s="42"/>
      <c r="P875" s="42"/>
      <c r="Q875" s="42"/>
      <c r="R875" s="42"/>
      <c r="S875" s="42"/>
      <c r="T875" s="42"/>
      <c r="U875" s="42"/>
    </row>
    <row r="877" spans="2:23" ht="18.75" customHeight="1">
      <c r="B877" s="43" t="s">
        <v>163</v>
      </c>
      <c r="C877" s="51" t="s">
        <v>3693</v>
      </c>
      <c r="D877" s="90"/>
      <c r="W877" s="35" t="str">
        <f>"-- "&amp;B877&amp;" : "&amp;C877</f>
        <v>-- SQL_ID : 01_A6-54</v>
      </c>
    </row>
    <row r="878" spans="2:23" ht="18.75" customHeight="1">
      <c r="B878" s="43" t="s">
        <v>158</v>
      </c>
      <c r="C878" s="102" t="str">
        <f>R881&amp;"登録"</f>
        <v>バックアップ_MML_紹介状モジュール_注射記録登録</v>
      </c>
      <c r="D878" s="103"/>
      <c r="E878" s="103"/>
      <c r="F878" s="103"/>
      <c r="G878" s="103"/>
      <c r="H878" s="103"/>
      <c r="I878" s="103"/>
      <c r="J878" s="103"/>
      <c r="K878" s="103"/>
      <c r="L878" s="103"/>
      <c r="M878" s="103"/>
      <c r="N878" s="103"/>
      <c r="O878" s="103"/>
      <c r="P878" s="103"/>
      <c r="Q878" s="103"/>
      <c r="R878" s="103"/>
      <c r="S878" s="103"/>
      <c r="T878" s="103"/>
      <c r="U878" s="104"/>
      <c r="W878" s="35" t="str">
        <f>"-- "&amp;C878</f>
        <v>-- バックアップ_MML_紹介状モジュール_注射記録登録</v>
      </c>
    </row>
    <row r="879" spans="2:23" ht="18.75" customHeight="1">
      <c r="B879" s="43" t="s">
        <v>159</v>
      </c>
      <c r="C879" s="105" t="str">
        <f>C881&amp;"テーブルから組入れ条件の第一条件で絞り込んだ結果を"&amp;R881&amp;"テーブルに格納する。"</f>
        <v>MML_紹介状モジュール_注射記録テーブルから組入れ条件の第一条件で絞り込んだ結果をバックアップ_MML_紹介状モジュール_注射記録テーブルに格納する。</v>
      </c>
      <c r="D879" s="106"/>
      <c r="E879" s="106"/>
      <c r="F879" s="106"/>
      <c r="G879" s="106"/>
      <c r="H879" s="106"/>
      <c r="I879" s="106"/>
      <c r="J879" s="106"/>
      <c r="K879" s="106"/>
      <c r="L879" s="106"/>
      <c r="M879" s="106"/>
      <c r="N879" s="106"/>
      <c r="O879" s="106"/>
      <c r="P879" s="106"/>
      <c r="Q879" s="106"/>
      <c r="R879" s="106"/>
      <c r="S879" s="106"/>
      <c r="T879" s="106"/>
      <c r="U879" s="107"/>
      <c r="W879" s="35" t="str">
        <f>"-- "&amp;C879</f>
        <v>-- MML_紹介状モジュール_注射記録テーブルから組入れ条件の第一条件で絞り込んだ結果をバックアップ_MML_紹介状モジュール_注射記録テーブルに格納する。</v>
      </c>
    </row>
    <row r="881" spans="2:23" ht="18.75" customHeight="1">
      <c r="C881" s="96" t="s">
        <v>3694</v>
      </c>
      <c r="D881" s="97"/>
      <c r="E881" s="108" t="s">
        <v>162</v>
      </c>
      <c r="H881" s="36"/>
      <c r="I881" s="36"/>
      <c r="J881" s="36"/>
      <c r="K881" s="36"/>
      <c r="L881" s="36"/>
      <c r="M881" s="36"/>
      <c r="N881" s="36"/>
      <c r="O881" s="36"/>
      <c r="P881" s="36"/>
      <c r="Q881" s="36"/>
      <c r="R881" s="96" t="str">
        <f>"バックアップ_"&amp;SUBSTITUTE(C881,"_結合","")</f>
        <v>バックアップ_MML_紹介状モジュール_注射記録</v>
      </c>
      <c r="S881" s="97"/>
      <c r="T881" s="100" t="str">
        <f>エンティティ一覧!$O$2</f>
        <v>milscm_2023_010</v>
      </c>
    </row>
    <row r="882" spans="2:23" ht="18.75" customHeight="1">
      <c r="C882" s="98"/>
      <c r="D882" s="99"/>
      <c r="E882" s="109"/>
      <c r="F882" s="37"/>
      <c r="G882" s="38"/>
      <c r="H882" s="37"/>
      <c r="I882" s="37"/>
      <c r="J882" s="37"/>
      <c r="K882" s="37"/>
      <c r="L882" s="37"/>
      <c r="M882" s="37"/>
      <c r="N882" s="37"/>
      <c r="O882" s="37"/>
      <c r="P882" s="37"/>
      <c r="Q882" s="37"/>
      <c r="R882" s="98"/>
      <c r="S882" s="99"/>
      <c r="T882" s="101"/>
    </row>
    <row r="883" spans="2:23" ht="18.75" customHeight="1">
      <c r="F883" s="39"/>
      <c r="G883" s="40"/>
    </row>
    <row r="884" spans="2:23" ht="18.75" customHeight="1">
      <c r="C884" s="96" t="s">
        <v>3229</v>
      </c>
      <c r="D884" s="97"/>
      <c r="E884" s="100" t="str">
        <f>エンティティ一覧!$O$2</f>
        <v>milscm_2023_010</v>
      </c>
      <c r="G884" s="41"/>
    </row>
    <row r="885" spans="2:23" ht="18.75" customHeight="1">
      <c r="C885" s="98"/>
      <c r="D885" s="99"/>
      <c r="E885" s="101"/>
      <c r="F885" s="37"/>
    </row>
    <row r="887" spans="2:23" ht="18.75" customHeight="1" thickBot="1">
      <c r="B887" s="42"/>
      <c r="C887" s="42"/>
      <c r="D887" s="42"/>
      <c r="E887" s="42"/>
      <c r="F887" s="42"/>
      <c r="G887" s="42"/>
      <c r="H887" s="42"/>
      <c r="I887" s="42"/>
      <c r="J887" s="42"/>
      <c r="K887" s="42"/>
      <c r="L887" s="42"/>
      <c r="M887" s="42"/>
      <c r="N887" s="42"/>
      <c r="O887" s="42"/>
      <c r="P887" s="42"/>
      <c r="Q887" s="42"/>
      <c r="R887" s="42"/>
      <c r="S887" s="42"/>
      <c r="T887" s="42"/>
      <c r="U887" s="42"/>
    </row>
    <row r="889" spans="2:23" ht="18.75" customHeight="1">
      <c r="B889" s="43" t="s">
        <v>163</v>
      </c>
      <c r="C889" s="51" t="s">
        <v>3695</v>
      </c>
      <c r="D889" s="90"/>
      <c r="W889" s="35" t="str">
        <f>"-- "&amp;B889&amp;" : "&amp;C889</f>
        <v>-- SQL_ID : 01_A6-55</v>
      </c>
    </row>
    <row r="890" spans="2:23" ht="18.75" customHeight="1">
      <c r="B890" s="43" t="s">
        <v>158</v>
      </c>
      <c r="C890" s="102" t="str">
        <f>R893&amp;"登録"</f>
        <v>バックアップ_MML_紹介状モジュール_注射記録投薬登録</v>
      </c>
      <c r="D890" s="103"/>
      <c r="E890" s="103"/>
      <c r="F890" s="103"/>
      <c r="G890" s="103"/>
      <c r="H890" s="103"/>
      <c r="I890" s="103"/>
      <c r="J890" s="103"/>
      <c r="K890" s="103"/>
      <c r="L890" s="103"/>
      <c r="M890" s="103"/>
      <c r="N890" s="103"/>
      <c r="O890" s="103"/>
      <c r="P890" s="103"/>
      <c r="Q890" s="103"/>
      <c r="R890" s="103"/>
      <c r="S890" s="103"/>
      <c r="T890" s="103"/>
      <c r="U890" s="104"/>
      <c r="W890" s="35" t="str">
        <f>"-- "&amp;C890</f>
        <v>-- バックアップ_MML_紹介状モジュール_注射記録投薬登録</v>
      </c>
    </row>
    <row r="891" spans="2:23" ht="18.75" customHeight="1">
      <c r="B891" s="43" t="s">
        <v>159</v>
      </c>
      <c r="C891" s="105" t="str">
        <f>C893&amp;"テーブルから組入れ条件の第一条件で絞り込んだ結果を"&amp;R893&amp;"テーブルに格納する。"</f>
        <v>MML_紹介状モジュール_注射記録投薬テーブルから組入れ条件の第一条件で絞り込んだ結果をバックアップ_MML_紹介状モジュール_注射記録投薬テーブルに格納する。</v>
      </c>
      <c r="D891" s="106"/>
      <c r="E891" s="106"/>
      <c r="F891" s="106"/>
      <c r="G891" s="106"/>
      <c r="H891" s="106"/>
      <c r="I891" s="106"/>
      <c r="J891" s="106"/>
      <c r="K891" s="106"/>
      <c r="L891" s="106"/>
      <c r="M891" s="106"/>
      <c r="N891" s="106"/>
      <c r="O891" s="106"/>
      <c r="P891" s="106"/>
      <c r="Q891" s="106"/>
      <c r="R891" s="106"/>
      <c r="S891" s="106"/>
      <c r="T891" s="106"/>
      <c r="U891" s="107"/>
      <c r="W891" s="35" t="str">
        <f>"-- "&amp;C891</f>
        <v>-- MML_紹介状モジュール_注射記録投薬テーブルから組入れ条件の第一条件で絞り込んだ結果をバックアップ_MML_紹介状モジュール_注射記録投薬テーブルに格納する。</v>
      </c>
    </row>
    <row r="893" spans="2:23" ht="18.75" customHeight="1">
      <c r="C893" s="96" t="s">
        <v>3696</v>
      </c>
      <c r="D893" s="97"/>
      <c r="E893" s="108" t="s">
        <v>162</v>
      </c>
      <c r="H893" s="36"/>
      <c r="I893" s="36"/>
      <c r="J893" s="36"/>
      <c r="K893" s="36"/>
      <c r="L893" s="36"/>
      <c r="M893" s="36"/>
      <c r="N893" s="36"/>
      <c r="O893" s="36"/>
      <c r="P893" s="36"/>
      <c r="Q893" s="36"/>
      <c r="R893" s="96" t="str">
        <f>"バックアップ_"&amp;SUBSTITUTE(C893,"_結合","")</f>
        <v>バックアップ_MML_紹介状モジュール_注射記録投薬</v>
      </c>
      <c r="S893" s="97"/>
      <c r="T893" s="100" t="str">
        <f>エンティティ一覧!$O$2</f>
        <v>milscm_2023_010</v>
      </c>
    </row>
    <row r="894" spans="2:23" ht="18.75" customHeight="1">
      <c r="C894" s="98"/>
      <c r="D894" s="99"/>
      <c r="E894" s="109"/>
      <c r="F894" s="37"/>
      <c r="G894" s="38"/>
      <c r="H894" s="37"/>
      <c r="I894" s="37"/>
      <c r="J894" s="37"/>
      <c r="K894" s="37"/>
      <c r="L894" s="37"/>
      <c r="M894" s="37"/>
      <c r="N894" s="37"/>
      <c r="O894" s="37"/>
      <c r="P894" s="37"/>
      <c r="Q894" s="37"/>
      <c r="R894" s="98"/>
      <c r="S894" s="99"/>
      <c r="T894" s="101"/>
    </row>
    <row r="895" spans="2:23" ht="18.75" customHeight="1">
      <c r="F895" s="39"/>
      <c r="G895" s="40"/>
    </row>
    <row r="896" spans="2:23" ht="18.75" customHeight="1">
      <c r="C896" s="96" t="s">
        <v>3229</v>
      </c>
      <c r="D896" s="97"/>
      <c r="E896" s="100" t="str">
        <f>エンティティ一覧!$O$2</f>
        <v>milscm_2023_010</v>
      </c>
      <c r="G896" s="41"/>
    </row>
    <row r="897" spans="2:23" ht="18.75" customHeight="1">
      <c r="C897" s="98"/>
      <c r="D897" s="99"/>
      <c r="E897" s="101"/>
      <c r="F897" s="37"/>
    </row>
    <row r="899" spans="2:23" ht="18.75" customHeight="1" thickBot="1">
      <c r="B899" s="42"/>
      <c r="C899" s="42"/>
      <c r="D899" s="42"/>
      <c r="E899" s="42"/>
      <c r="F899" s="42"/>
      <c r="G899" s="42"/>
      <c r="H899" s="42"/>
      <c r="I899" s="42"/>
      <c r="J899" s="42"/>
      <c r="K899" s="42"/>
      <c r="L899" s="42"/>
      <c r="M899" s="42"/>
      <c r="N899" s="42"/>
      <c r="O899" s="42"/>
      <c r="P899" s="42"/>
      <c r="Q899" s="42"/>
      <c r="R899" s="42"/>
      <c r="S899" s="42"/>
      <c r="T899" s="42"/>
      <c r="U899" s="42"/>
    </row>
    <row r="901" spans="2:23" ht="18.75" customHeight="1">
      <c r="B901" s="43" t="s">
        <v>163</v>
      </c>
      <c r="C901" s="51" t="s">
        <v>3697</v>
      </c>
      <c r="D901" s="90"/>
      <c r="W901" s="35" t="str">
        <f>"-- "&amp;B901&amp;" : "&amp;C901</f>
        <v>-- SQL_ID : 01_A6-56</v>
      </c>
    </row>
    <row r="902" spans="2:23" ht="18.75" customHeight="1">
      <c r="B902" s="43" t="s">
        <v>158</v>
      </c>
      <c r="C902" s="102" t="str">
        <f>R905&amp;"登録"</f>
        <v>バックアップ_MML_紹介状モジュール_注射記録薬剤登録</v>
      </c>
      <c r="D902" s="103"/>
      <c r="E902" s="103"/>
      <c r="F902" s="103"/>
      <c r="G902" s="103"/>
      <c r="H902" s="103"/>
      <c r="I902" s="103"/>
      <c r="J902" s="103"/>
      <c r="K902" s="103"/>
      <c r="L902" s="103"/>
      <c r="M902" s="103"/>
      <c r="N902" s="103"/>
      <c r="O902" s="103"/>
      <c r="P902" s="103"/>
      <c r="Q902" s="103"/>
      <c r="R902" s="103"/>
      <c r="S902" s="103"/>
      <c r="T902" s="103"/>
      <c r="U902" s="104"/>
      <c r="W902" s="35" t="str">
        <f>"-- "&amp;C902</f>
        <v>-- バックアップ_MML_紹介状モジュール_注射記録薬剤登録</v>
      </c>
    </row>
    <row r="903" spans="2:23" ht="18.75" customHeight="1">
      <c r="B903" s="43" t="s">
        <v>159</v>
      </c>
      <c r="C903" s="105" t="str">
        <f>C905&amp;"テーブルから組入れ条件の第一条件で絞り込んだ結果を"&amp;R905&amp;"テーブルに格納する。"</f>
        <v>MML_紹介状モジュール_注射記録薬剤テーブルから組入れ条件の第一条件で絞り込んだ結果をバックアップ_MML_紹介状モジュール_注射記録薬剤テーブルに格納する。</v>
      </c>
      <c r="D903" s="106"/>
      <c r="E903" s="106"/>
      <c r="F903" s="106"/>
      <c r="G903" s="106"/>
      <c r="H903" s="106"/>
      <c r="I903" s="106"/>
      <c r="J903" s="106"/>
      <c r="K903" s="106"/>
      <c r="L903" s="106"/>
      <c r="M903" s="106"/>
      <c r="N903" s="106"/>
      <c r="O903" s="106"/>
      <c r="P903" s="106"/>
      <c r="Q903" s="106"/>
      <c r="R903" s="106"/>
      <c r="S903" s="106"/>
      <c r="T903" s="106"/>
      <c r="U903" s="107"/>
      <c r="W903" s="35" t="str">
        <f>"-- "&amp;C903</f>
        <v>-- MML_紹介状モジュール_注射記録薬剤テーブルから組入れ条件の第一条件で絞り込んだ結果をバックアップ_MML_紹介状モジュール_注射記録薬剤テーブルに格納する。</v>
      </c>
    </row>
    <row r="905" spans="2:23" ht="18.75" customHeight="1">
      <c r="C905" s="96" t="s">
        <v>3698</v>
      </c>
      <c r="D905" s="97"/>
      <c r="E905" s="108" t="s">
        <v>162</v>
      </c>
      <c r="H905" s="36"/>
      <c r="I905" s="36"/>
      <c r="J905" s="36"/>
      <c r="K905" s="36"/>
      <c r="L905" s="36"/>
      <c r="M905" s="36"/>
      <c r="N905" s="36"/>
      <c r="O905" s="36"/>
      <c r="P905" s="36"/>
      <c r="Q905" s="36"/>
      <c r="R905" s="96" t="str">
        <f>"バックアップ_"&amp;SUBSTITUTE(C905,"_結合","")</f>
        <v>バックアップ_MML_紹介状モジュール_注射記録薬剤</v>
      </c>
      <c r="S905" s="97"/>
      <c r="T905" s="100" t="str">
        <f>エンティティ一覧!$O$2</f>
        <v>milscm_2023_010</v>
      </c>
    </row>
    <row r="906" spans="2:23" ht="18.75" customHeight="1">
      <c r="C906" s="98"/>
      <c r="D906" s="99"/>
      <c r="E906" s="109"/>
      <c r="F906" s="37"/>
      <c r="G906" s="38"/>
      <c r="H906" s="37"/>
      <c r="I906" s="37"/>
      <c r="J906" s="37"/>
      <c r="K906" s="37"/>
      <c r="L906" s="37"/>
      <c r="M906" s="37"/>
      <c r="N906" s="37"/>
      <c r="O906" s="37"/>
      <c r="P906" s="37"/>
      <c r="Q906" s="37"/>
      <c r="R906" s="98"/>
      <c r="S906" s="99"/>
      <c r="T906" s="101"/>
    </row>
    <row r="907" spans="2:23" ht="18.75" customHeight="1">
      <c r="F907" s="39"/>
      <c r="G907" s="40"/>
    </row>
    <row r="908" spans="2:23" ht="18.75" customHeight="1">
      <c r="C908" s="96" t="s">
        <v>3229</v>
      </c>
      <c r="D908" s="97"/>
      <c r="E908" s="100" t="str">
        <f>エンティティ一覧!$O$2</f>
        <v>milscm_2023_010</v>
      </c>
      <c r="G908" s="41"/>
    </row>
    <row r="909" spans="2:23" ht="18.75" customHeight="1">
      <c r="C909" s="98"/>
      <c r="D909" s="99"/>
      <c r="E909" s="101"/>
      <c r="F909" s="37"/>
    </row>
    <row r="911" spans="2:23" ht="18.75" customHeight="1" thickBot="1">
      <c r="B911" s="42"/>
      <c r="C911" s="42"/>
      <c r="D911" s="42"/>
      <c r="E911" s="42"/>
      <c r="F911" s="42"/>
      <c r="G911" s="42"/>
      <c r="H911" s="42"/>
      <c r="I911" s="42"/>
      <c r="J911" s="42"/>
      <c r="K911" s="42"/>
      <c r="L911" s="42"/>
      <c r="M911" s="42"/>
      <c r="N911" s="42"/>
      <c r="O911" s="42"/>
      <c r="P911" s="42"/>
      <c r="Q911" s="42"/>
      <c r="R911" s="42"/>
      <c r="S911" s="42"/>
      <c r="T911" s="42"/>
      <c r="U911" s="42"/>
    </row>
    <row r="913" spans="2:23" ht="18.75" customHeight="1">
      <c r="B913" s="43" t="s">
        <v>163</v>
      </c>
      <c r="C913" s="51" t="s">
        <v>3699</v>
      </c>
      <c r="D913" s="90"/>
      <c r="W913" s="35" t="str">
        <f>"-- "&amp;B913&amp;" : "&amp;C913</f>
        <v>-- SQL_ID : 01_A6-57</v>
      </c>
    </row>
    <row r="914" spans="2:23" ht="18.75" customHeight="1">
      <c r="B914" s="43" t="s">
        <v>158</v>
      </c>
      <c r="C914" s="102" t="str">
        <f>R917&amp;"登録"</f>
        <v>バックアップ_MML_紹介状モジュール_患者情報登録</v>
      </c>
      <c r="D914" s="103"/>
      <c r="E914" s="103"/>
      <c r="F914" s="103"/>
      <c r="G914" s="103"/>
      <c r="H914" s="103"/>
      <c r="I914" s="103"/>
      <c r="J914" s="103"/>
      <c r="K914" s="103"/>
      <c r="L914" s="103"/>
      <c r="M914" s="103"/>
      <c r="N914" s="103"/>
      <c r="O914" s="103"/>
      <c r="P914" s="103"/>
      <c r="Q914" s="103"/>
      <c r="R914" s="103"/>
      <c r="S914" s="103"/>
      <c r="T914" s="103"/>
      <c r="U914" s="104"/>
      <c r="W914" s="35" t="str">
        <f>"-- "&amp;C914</f>
        <v>-- バックアップ_MML_紹介状モジュール_患者情報登録</v>
      </c>
    </row>
    <row r="915" spans="2:23" ht="18.75" customHeight="1">
      <c r="B915" s="43" t="s">
        <v>159</v>
      </c>
      <c r="C915" s="105" t="str">
        <f>C917&amp;"テーブルから組入れ条件の第一条件で絞り込んだ結果を"&amp;R917&amp;"テーブルに格納する。"</f>
        <v>MML_紹介状モジュール_患者情報テーブルから組入れ条件の第一条件で絞り込んだ結果をバックアップ_MML_紹介状モジュール_患者情報テーブルに格納する。</v>
      </c>
      <c r="D915" s="106"/>
      <c r="E915" s="106"/>
      <c r="F915" s="106"/>
      <c r="G915" s="106"/>
      <c r="H915" s="106"/>
      <c r="I915" s="106"/>
      <c r="J915" s="106"/>
      <c r="K915" s="106"/>
      <c r="L915" s="106"/>
      <c r="M915" s="106"/>
      <c r="N915" s="106"/>
      <c r="O915" s="106"/>
      <c r="P915" s="106"/>
      <c r="Q915" s="106"/>
      <c r="R915" s="106"/>
      <c r="S915" s="106"/>
      <c r="T915" s="106"/>
      <c r="U915" s="107"/>
      <c r="W915" s="35" t="str">
        <f>"-- "&amp;C915</f>
        <v>-- MML_紹介状モジュール_患者情報テーブルから組入れ条件の第一条件で絞り込んだ結果をバックアップ_MML_紹介状モジュール_患者情報テーブルに格納する。</v>
      </c>
    </row>
    <row r="917" spans="2:23" ht="18.75" customHeight="1">
      <c r="C917" s="96" t="s">
        <v>3700</v>
      </c>
      <c r="D917" s="97"/>
      <c r="E917" s="108" t="s">
        <v>162</v>
      </c>
      <c r="H917" s="36"/>
      <c r="I917" s="36"/>
      <c r="J917" s="36"/>
      <c r="K917" s="36"/>
      <c r="L917" s="36"/>
      <c r="M917" s="36"/>
      <c r="N917" s="36"/>
      <c r="O917" s="36"/>
      <c r="P917" s="36"/>
      <c r="Q917" s="36"/>
      <c r="R917" s="96" t="str">
        <f>"バックアップ_"&amp;SUBSTITUTE(C917,"_結合","")</f>
        <v>バックアップ_MML_紹介状モジュール_患者情報</v>
      </c>
      <c r="S917" s="97"/>
      <c r="T917" s="100" t="str">
        <f>エンティティ一覧!$O$2</f>
        <v>milscm_2023_010</v>
      </c>
    </row>
    <row r="918" spans="2:23" ht="18.75" customHeight="1">
      <c r="C918" s="98"/>
      <c r="D918" s="99"/>
      <c r="E918" s="109"/>
      <c r="F918" s="37"/>
      <c r="G918" s="38"/>
      <c r="H918" s="37"/>
      <c r="I918" s="37"/>
      <c r="J918" s="37"/>
      <c r="K918" s="37"/>
      <c r="L918" s="37"/>
      <c r="M918" s="37"/>
      <c r="N918" s="37"/>
      <c r="O918" s="37"/>
      <c r="P918" s="37"/>
      <c r="Q918" s="37"/>
      <c r="R918" s="98"/>
      <c r="S918" s="99"/>
      <c r="T918" s="101"/>
    </row>
    <row r="919" spans="2:23" ht="18.75" customHeight="1">
      <c r="F919" s="39"/>
      <c r="G919" s="40"/>
    </row>
    <row r="920" spans="2:23" ht="18.75" customHeight="1">
      <c r="C920" s="96" t="s">
        <v>3229</v>
      </c>
      <c r="D920" s="97"/>
      <c r="E920" s="100" t="str">
        <f>エンティティ一覧!$O$2</f>
        <v>milscm_2023_010</v>
      </c>
      <c r="G920" s="41"/>
    </row>
    <row r="921" spans="2:23" ht="18.75" customHeight="1">
      <c r="C921" s="98"/>
      <c r="D921" s="99"/>
      <c r="E921" s="101"/>
      <c r="F921" s="37"/>
    </row>
    <row r="923" spans="2:23" ht="18.75" customHeight="1" thickBot="1">
      <c r="B923" s="42"/>
      <c r="C923" s="42"/>
      <c r="D923" s="42"/>
      <c r="E923" s="42"/>
      <c r="F923" s="42"/>
      <c r="G923" s="42"/>
      <c r="H923" s="42"/>
      <c r="I923" s="42"/>
      <c r="J923" s="42"/>
      <c r="K923" s="42"/>
      <c r="L923" s="42"/>
      <c r="M923" s="42"/>
      <c r="N923" s="42"/>
      <c r="O923" s="42"/>
      <c r="P923" s="42"/>
      <c r="Q923" s="42"/>
      <c r="R923" s="42"/>
      <c r="S923" s="42"/>
      <c r="T923" s="42"/>
      <c r="U923" s="42"/>
    </row>
    <row r="925" spans="2:23" ht="18.75" customHeight="1">
      <c r="B925" s="43" t="s">
        <v>163</v>
      </c>
      <c r="C925" s="51" t="s">
        <v>3701</v>
      </c>
      <c r="D925" s="90"/>
      <c r="W925" s="35" t="str">
        <f>"-- "&amp;B925&amp;" : "&amp;C925</f>
        <v>-- SQL_ID : 01_A6-58</v>
      </c>
    </row>
    <row r="926" spans="2:23" ht="18.75" customHeight="1">
      <c r="B926" s="43" t="s">
        <v>158</v>
      </c>
      <c r="C926" s="102" t="str">
        <f>R929&amp;"登録"</f>
        <v>バックアップ_MML_紹介状モジュール_患者情報住所登録</v>
      </c>
      <c r="D926" s="103"/>
      <c r="E926" s="103"/>
      <c r="F926" s="103"/>
      <c r="G926" s="103"/>
      <c r="H926" s="103"/>
      <c r="I926" s="103"/>
      <c r="J926" s="103"/>
      <c r="K926" s="103"/>
      <c r="L926" s="103"/>
      <c r="M926" s="103"/>
      <c r="N926" s="103"/>
      <c r="O926" s="103"/>
      <c r="P926" s="103"/>
      <c r="Q926" s="103"/>
      <c r="R926" s="103"/>
      <c r="S926" s="103"/>
      <c r="T926" s="103"/>
      <c r="U926" s="104"/>
      <c r="W926" s="35" t="str">
        <f>"-- "&amp;C926</f>
        <v>-- バックアップ_MML_紹介状モジュール_患者情報住所登録</v>
      </c>
    </row>
    <row r="927" spans="2:23" ht="18.75" customHeight="1">
      <c r="B927" s="43" t="s">
        <v>159</v>
      </c>
      <c r="C927" s="105" t="str">
        <f>C929&amp;"テーブルから組入れ条件の第一条件で絞り込んだ結果を"&amp;R929&amp;"テーブルに格納する。"</f>
        <v>MML_紹介状モジュール_患者情報住所テーブルから組入れ条件の第一条件で絞り込んだ結果をバックアップ_MML_紹介状モジュール_患者情報住所テーブルに格納する。</v>
      </c>
      <c r="D927" s="106"/>
      <c r="E927" s="106"/>
      <c r="F927" s="106"/>
      <c r="G927" s="106"/>
      <c r="H927" s="106"/>
      <c r="I927" s="106"/>
      <c r="J927" s="106"/>
      <c r="K927" s="106"/>
      <c r="L927" s="106"/>
      <c r="M927" s="106"/>
      <c r="N927" s="106"/>
      <c r="O927" s="106"/>
      <c r="P927" s="106"/>
      <c r="Q927" s="106"/>
      <c r="R927" s="106"/>
      <c r="S927" s="106"/>
      <c r="T927" s="106"/>
      <c r="U927" s="107"/>
      <c r="W927" s="35" t="str">
        <f>"-- "&amp;C927</f>
        <v>-- MML_紹介状モジュール_患者情報住所テーブルから組入れ条件の第一条件で絞り込んだ結果をバックアップ_MML_紹介状モジュール_患者情報住所テーブルに格納する。</v>
      </c>
    </row>
    <row r="929" spans="2:23" ht="18.75" customHeight="1">
      <c r="C929" s="96" t="s">
        <v>3702</v>
      </c>
      <c r="D929" s="97"/>
      <c r="E929" s="108" t="s">
        <v>162</v>
      </c>
      <c r="H929" s="36"/>
      <c r="I929" s="36"/>
      <c r="J929" s="36"/>
      <c r="K929" s="36"/>
      <c r="L929" s="36"/>
      <c r="M929" s="36"/>
      <c r="N929" s="36"/>
      <c r="O929" s="36"/>
      <c r="P929" s="36"/>
      <c r="Q929" s="36"/>
      <c r="R929" s="96" t="str">
        <f>"バックアップ_"&amp;SUBSTITUTE(C929,"_結合","")</f>
        <v>バックアップ_MML_紹介状モジュール_患者情報住所</v>
      </c>
      <c r="S929" s="97"/>
      <c r="T929" s="100" t="str">
        <f>エンティティ一覧!$O$2</f>
        <v>milscm_2023_010</v>
      </c>
    </row>
    <row r="930" spans="2:23" ht="18.75" customHeight="1">
      <c r="C930" s="98"/>
      <c r="D930" s="99"/>
      <c r="E930" s="109"/>
      <c r="F930" s="37"/>
      <c r="G930" s="38"/>
      <c r="H930" s="37"/>
      <c r="I930" s="37"/>
      <c r="J930" s="37"/>
      <c r="K930" s="37"/>
      <c r="L930" s="37"/>
      <c r="M930" s="37"/>
      <c r="N930" s="37"/>
      <c r="O930" s="37"/>
      <c r="P930" s="37"/>
      <c r="Q930" s="37"/>
      <c r="R930" s="98"/>
      <c r="S930" s="99"/>
      <c r="T930" s="101"/>
    </row>
    <row r="931" spans="2:23" ht="18.75" customHeight="1">
      <c r="F931" s="39"/>
      <c r="G931" s="40"/>
    </row>
    <row r="932" spans="2:23" ht="18.75" customHeight="1">
      <c r="C932" s="96" t="s">
        <v>3229</v>
      </c>
      <c r="D932" s="97"/>
      <c r="E932" s="100" t="str">
        <f>エンティティ一覧!$O$2</f>
        <v>milscm_2023_010</v>
      </c>
      <c r="G932" s="41"/>
    </row>
    <row r="933" spans="2:23" ht="18.75" customHeight="1">
      <c r="C933" s="98"/>
      <c r="D933" s="99"/>
      <c r="E933" s="101"/>
      <c r="F933" s="37"/>
    </row>
    <row r="935" spans="2:23" ht="18.75" customHeight="1" thickBot="1">
      <c r="B935" s="42"/>
      <c r="C935" s="42"/>
      <c r="D935" s="42"/>
      <c r="E935" s="42"/>
      <c r="F935" s="42"/>
      <c r="G935" s="42"/>
      <c r="H935" s="42"/>
      <c r="I935" s="42"/>
      <c r="J935" s="42"/>
      <c r="K935" s="42"/>
      <c r="L935" s="42"/>
      <c r="M935" s="42"/>
      <c r="N935" s="42"/>
      <c r="O935" s="42"/>
      <c r="P935" s="42"/>
      <c r="Q935" s="42"/>
      <c r="R935" s="42"/>
      <c r="S935" s="42"/>
      <c r="T935" s="42"/>
      <c r="U935" s="42"/>
    </row>
    <row r="937" spans="2:23" ht="18.75" customHeight="1">
      <c r="B937" s="43" t="s">
        <v>163</v>
      </c>
      <c r="C937" s="51" t="s">
        <v>3703</v>
      </c>
      <c r="D937" s="90"/>
      <c r="W937" s="35" t="str">
        <f>"-- "&amp;B937&amp;" : "&amp;C937</f>
        <v>-- SQL_ID : 01_A6-59</v>
      </c>
    </row>
    <row r="938" spans="2:23" ht="18.75" customHeight="1">
      <c r="B938" s="43" t="s">
        <v>158</v>
      </c>
      <c r="C938" s="102" t="str">
        <f>R941&amp;"登録"</f>
        <v>バックアップ_MML_紹介状モジュール_処方箋登録</v>
      </c>
      <c r="D938" s="103"/>
      <c r="E938" s="103"/>
      <c r="F938" s="103"/>
      <c r="G938" s="103"/>
      <c r="H938" s="103"/>
      <c r="I938" s="103"/>
      <c r="J938" s="103"/>
      <c r="K938" s="103"/>
      <c r="L938" s="103"/>
      <c r="M938" s="103"/>
      <c r="N938" s="103"/>
      <c r="O938" s="103"/>
      <c r="P938" s="103"/>
      <c r="Q938" s="103"/>
      <c r="R938" s="103"/>
      <c r="S938" s="103"/>
      <c r="T938" s="103"/>
      <c r="U938" s="104"/>
      <c r="W938" s="35" t="str">
        <f>"-- "&amp;C938</f>
        <v>-- バックアップ_MML_紹介状モジュール_処方箋登録</v>
      </c>
    </row>
    <row r="939" spans="2:23" ht="18.75" customHeight="1">
      <c r="B939" s="43" t="s">
        <v>159</v>
      </c>
      <c r="C939" s="105" t="str">
        <f>C941&amp;"テーブルから組入れ条件の第一条件で絞り込んだ結果を"&amp;R941&amp;"テーブルに格納する。"</f>
        <v>MML_紹介状モジュール_処方箋テーブルから組入れ条件の第一条件で絞り込んだ結果をバックアップ_MML_紹介状モジュール_処方箋テーブルに格納する。</v>
      </c>
      <c r="D939" s="106"/>
      <c r="E939" s="106"/>
      <c r="F939" s="106"/>
      <c r="G939" s="106"/>
      <c r="H939" s="106"/>
      <c r="I939" s="106"/>
      <c r="J939" s="106"/>
      <c r="K939" s="106"/>
      <c r="L939" s="106"/>
      <c r="M939" s="106"/>
      <c r="N939" s="106"/>
      <c r="O939" s="106"/>
      <c r="P939" s="106"/>
      <c r="Q939" s="106"/>
      <c r="R939" s="106"/>
      <c r="S939" s="106"/>
      <c r="T939" s="106"/>
      <c r="U939" s="107"/>
      <c r="W939" s="35" t="str">
        <f>"-- "&amp;C939</f>
        <v>-- MML_紹介状モジュール_処方箋テーブルから組入れ条件の第一条件で絞り込んだ結果をバックアップ_MML_紹介状モジュール_処方箋テーブルに格納する。</v>
      </c>
    </row>
    <row r="941" spans="2:23" ht="18.75" customHeight="1">
      <c r="C941" s="96" t="s">
        <v>3704</v>
      </c>
      <c r="D941" s="97"/>
      <c r="E941" s="108" t="s">
        <v>162</v>
      </c>
      <c r="H941" s="36"/>
      <c r="I941" s="36"/>
      <c r="J941" s="36"/>
      <c r="K941" s="36"/>
      <c r="L941" s="36"/>
      <c r="M941" s="36"/>
      <c r="N941" s="36"/>
      <c r="O941" s="36"/>
      <c r="P941" s="36"/>
      <c r="Q941" s="36"/>
      <c r="R941" s="96" t="str">
        <f>"バックアップ_"&amp;SUBSTITUTE(C941,"_結合","")</f>
        <v>バックアップ_MML_紹介状モジュール_処方箋</v>
      </c>
      <c r="S941" s="97"/>
      <c r="T941" s="100" t="str">
        <f>エンティティ一覧!$O$2</f>
        <v>milscm_2023_010</v>
      </c>
    </row>
    <row r="942" spans="2:23" ht="18.75" customHeight="1">
      <c r="C942" s="98"/>
      <c r="D942" s="99"/>
      <c r="E942" s="109"/>
      <c r="F942" s="37"/>
      <c r="G942" s="38"/>
      <c r="H942" s="37"/>
      <c r="I942" s="37"/>
      <c r="J942" s="37"/>
      <c r="K942" s="37"/>
      <c r="L942" s="37"/>
      <c r="M942" s="37"/>
      <c r="N942" s="37"/>
      <c r="O942" s="37"/>
      <c r="P942" s="37"/>
      <c r="Q942" s="37"/>
      <c r="R942" s="98"/>
      <c r="S942" s="99"/>
      <c r="T942" s="101"/>
    </row>
    <row r="943" spans="2:23" ht="18.75" customHeight="1">
      <c r="F943" s="39"/>
      <c r="G943" s="40"/>
    </row>
    <row r="944" spans="2:23" ht="18.75" customHeight="1">
      <c r="C944" s="96" t="s">
        <v>3229</v>
      </c>
      <c r="D944" s="97"/>
      <c r="E944" s="100" t="str">
        <f>エンティティ一覧!$O$2</f>
        <v>milscm_2023_010</v>
      </c>
      <c r="G944" s="41"/>
    </row>
    <row r="945" spans="2:23" ht="18.75" customHeight="1">
      <c r="C945" s="98"/>
      <c r="D945" s="99"/>
      <c r="E945" s="101"/>
      <c r="F945" s="37"/>
    </row>
    <row r="947" spans="2:23" ht="18.75" customHeight="1" thickBot="1">
      <c r="B947" s="42"/>
      <c r="C947" s="42"/>
      <c r="D947" s="42"/>
      <c r="E947" s="42"/>
      <c r="F947" s="42"/>
      <c r="G947" s="42"/>
      <c r="H947" s="42"/>
      <c r="I947" s="42"/>
      <c r="J947" s="42"/>
      <c r="K947" s="42"/>
      <c r="L947" s="42"/>
      <c r="M947" s="42"/>
      <c r="N947" s="42"/>
      <c r="O947" s="42"/>
      <c r="P947" s="42"/>
      <c r="Q947" s="42"/>
      <c r="R947" s="42"/>
      <c r="S947" s="42"/>
      <c r="T947" s="42"/>
      <c r="U947" s="42"/>
    </row>
    <row r="949" spans="2:23" ht="18.75" customHeight="1">
      <c r="B949" s="43" t="s">
        <v>163</v>
      </c>
      <c r="C949" s="51" t="s">
        <v>3705</v>
      </c>
      <c r="D949" s="90"/>
      <c r="W949" s="35" t="str">
        <f>"-- "&amp;B949&amp;" : "&amp;C949</f>
        <v>-- SQL_ID : 01_A6-60</v>
      </c>
    </row>
    <row r="950" spans="2:23" ht="18.75" customHeight="1">
      <c r="B950" s="43" t="s">
        <v>158</v>
      </c>
      <c r="C950" s="102" t="str">
        <f>R953&amp;"登録"</f>
        <v>バックアップ_MML_紹介状モジュール_処方箋投薬登録</v>
      </c>
      <c r="D950" s="103"/>
      <c r="E950" s="103"/>
      <c r="F950" s="103"/>
      <c r="G950" s="103"/>
      <c r="H950" s="103"/>
      <c r="I950" s="103"/>
      <c r="J950" s="103"/>
      <c r="K950" s="103"/>
      <c r="L950" s="103"/>
      <c r="M950" s="103"/>
      <c r="N950" s="103"/>
      <c r="O950" s="103"/>
      <c r="P950" s="103"/>
      <c r="Q950" s="103"/>
      <c r="R950" s="103"/>
      <c r="S950" s="103"/>
      <c r="T950" s="103"/>
      <c r="U950" s="104"/>
      <c r="W950" s="35" t="str">
        <f>"-- "&amp;C950</f>
        <v>-- バックアップ_MML_紹介状モジュール_処方箋投薬登録</v>
      </c>
    </row>
    <row r="951" spans="2:23" ht="18.75" customHeight="1">
      <c r="B951" s="43" t="s">
        <v>159</v>
      </c>
      <c r="C951" s="105" t="str">
        <f>C953&amp;"テーブルから組入れ条件の第一条件で絞り込んだ結果を"&amp;R953&amp;"テーブルに格納する。"</f>
        <v>MML_紹介状モジュール_処方箋投薬テーブルから組入れ条件の第一条件で絞り込んだ結果をバックアップ_MML_紹介状モジュール_処方箋投薬テーブルに格納する。</v>
      </c>
      <c r="D951" s="106"/>
      <c r="E951" s="106"/>
      <c r="F951" s="106"/>
      <c r="G951" s="106"/>
      <c r="H951" s="106"/>
      <c r="I951" s="106"/>
      <c r="J951" s="106"/>
      <c r="K951" s="106"/>
      <c r="L951" s="106"/>
      <c r="M951" s="106"/>
      <c r="N951" s="106"/>
      <c r="O951" s="106"/>
      <c r="P951" s="106"/>
      <c r="Q951" s="106"/>
      <c r="R951" s="106"/>
      <c r="S951" s="106"/>
      <c r="T951" s="106"/>
      <c r="U951" s="107"/>
      <c r="W951" s="35" t="str">
        <f>"-- "&amp;C951</f>
        <v>-- MML_紹介状モジュール_処方箋投薬テーブルから組入れ条件の第一条件で絞り込んだ結果をバックアップ_MML_紹介状モジュール_処方箋投薬テーブルに格納する。</v>
      </c>
    </row>
    <row r="953" spans="2:23" ht="18.75" customHeight="1">
      <c r="C953" s="96" t="s">
        <v>3706</v>
      </c>
      <c r="D953" s="97"/>
      <c r="E953" s="108" t="s">
        <v>162</v>
      </c>
      <c r="H953" s="36"/>
      <c r="I953" s="36"/>
      <c r="J953" s="36"/>
      <c r="K953" s="36"/>
      <c r="L953" s="36"/>
      <c r="M953" s="36"/>
      <c r="N953" s="36"/>
      <c r="O953" s="36"/>
      <c r="P953" s="36"/>
      <c r="Q953" s="36"/>
      <c r="R953" s="96" t="str">
        <f>"バックアップ_"&amp;SUBSTITUTE(C953,"_結合","")</f>
        <v>バックアップ_MML_紹介状モジュール_処方箋投薬</v>
      </c>
      <c r="S953" s="97"/>
      <c r="T953" s="100" t="str">
        <f>エンティティ一覧!$O$2</f>
        <v>milscm_2023_010</v>
      </c>
    </row>
    <row r="954" spans="2:23" ht="18.75" customHeight="1">
      <c r="C954" s="98"/>
      <c r="D954" s="99"/>
      <c r="E954" s="109"/>
      <c r="F954" s="37"/>
      <c r="G954" s="38"/>
      <c r="H954" s="37"/>
      <c r="I954" s="37"/>
      <c r="J954" s="37"/>
      <c r="K954" s="37"/>
      <c r="L954" s="37"/>
      <c r="M954" s="37"/>
      <c r="N954" s="37"/>
      <c r="O954" s="37"/>
      <c r="P954" s="37"/>
      <c r="Q954" s="37"/>
      <c r="R954" s="98"/>
      <c r="S954" s="99"/>
      <c r="T954" s="101"/>
    </row>
    <row r="955" spans="2:23" ht="18.75" customHeight="1">
      <c r="F955" s="39"/>
      <c r="G955" s="40"/>
    </row>
    <row r="956" spans="2:23" ht="18.75" customHeight="1">
      <c r="C956" s="96" t="s">
        <v>3229</v>
      </c>
      <c r="D956" s="97"/>
      <c r="E956" s="100" t="str">
        <f>エンティティ一覧!$O$2</f>
        <v>milscm_2023_010</v>
      </c>
      <c r="G956" s="41"/>
    </row>
    <row r="957" spans="2:23" ht="18.75" customHeight="1">
      <c r="C957" s="98"/>
      <c r="D957" s="99"/>
      <c r="E957" s="101"/>
      <c r="F957" s="37"/>
    </row>
    <row r="959" spans="2:23" ht="18.75" customHeight="1" thickBot="1">
      <c r="B959" s="42"/>
      <c r="C959" s="42"/>
      <c r="D959" s="42"/>
      <c r="E959" s="42"/>
      <c r="F959" s="42"/>
      <c r="G959" s="42"/>
      <c r="H959" s="42"/>
      <c r="I959" s="42"/>
      <c r="J959" s="42"/>
      <c r="K959" s="42"/>
      <c r="L959" s="42"/>
      <c r="M959" s="42"/>
      <c r="N959" s="42"/>
      <c r="O959" s="42"/>
      <c r="P959" s="42"/>
      <c r="Q959" s="42"/>
      <c r="R959" s="42"/>
      <c r="S959" s="42"/>
      <c r="T959" s="42"/>
      <c r="U959" s="42"/>
    </row>
    <row r="961" spans="2:23" ht="18.75" customHeight="1">
      <c r="B961" s="43" t="s">
        <v>163</v>
      </c>
      <c r="C961" s="51" t="s">
        <v>3707</v>
      </c>
      <c r="D961" s="90"/>
      <c r="W961" s="35" t="str">
        <f>"-- "&amp;B961&amp;" : "&amp;C961</f>
        <v>-- SQL_ID : 01_A6-61</v>
      </c>
    </row>
    <row r="962" spans="2:23" ht="18.75" customHeight="1">
      <c r="B962" s="43" t="s">
        <v>158</v>
      </c>
      <c r="C962" s="102" t="str">
        <f>R965&amp;"登録"</f>
        <v>バックアップ_MML_紹介状モジュール_処方箋薬剤登録</v>
      </c>
      <c r="D962" s="103"/>
      <c r="E962" s="103"/>
      <c r="F962" s="103"/>
      <c r="G962" s="103"/>
      <c r="H962" s="103"/>
      <c r="I962" s="103"/>
      <c r="J962" s="103"/>
      <c r="K962" s="103"/>
      <c r="L962" s="103"/>
      <c r="M962" s="103"/>
      <c r="N962" s="103"/>
      <c r="O962" s="103"/>
      <c r="P962" s="103"/>
      <c r="Q962" s="103"/>
      <c r="R962" s="103"/>
      <c r="S962" s="103"/>
      <c r="T962" s="103"/>
      <c r="U962" s="104"/>
      <c r="W962" s="35" t="str">
        <f>"-- "&amp;C962</f>
        <v>-- バックアップ_MML_紹介状モジュール_処方箋薬剤登録</v>
      </c>
    </row>
    <row r="963" spans="2:23" ht="18.75" customHeight="1">
      <c r="B963" s="43" t="s">
        <v>159</v>
      </c>
      <c r="C963" s="105" t="str">
        <f>C965&amp;"テーブルから組入れ条件の第一条件で絞り込んだ結果を"&amp;R965&amp;"テーブルに格納する。"</f>
        <v>MML_紹介状モジュール_処方箋薬剤テーブルから組入れ条件の第一条件で絞り込んだ結果をバックアップ_MML_紹介状モジュール_処方箋薬剤テーブルに格納する。</v>
      </c>
      <c r="D963" s="106"/>
      <c r="E963" s="106"/>
      <c r="F963" s="106"/>
      <c r="G963" s="106"/>
      <c r="H963" s="106"/>
      <c r="I963" s="106"/>
      <c r="J963" s="106"/>
      <c r="K963" s="106"/>
      <c r="L963" s="106"/>
      <c r="M963" s="106"/>
      <c r="N963" s="106"/>
      <c r="O963" s="106"/>
      <c r="P963" s="106"/>
      <c r="Q963" s="106"/>
      <c r="R963" s="106"/>
      <c r="S963" s="106"/>
      <c r="T963" s="106"/>
      <c r="U963" s="107"/>
      <c r="W963" s="35" t="str">
        <f>"-- "&amp;C963</f>
        <v>-- MML_紹介状モジュール_処方箋薬剤テーブルから組入れ条件の第一条件で絞り込んだ結果をバックアップ_MML_紹介状モジュール_処方箋薬剤テーブルに格納する。</v>
      </c>
    </row>
    <row r="965" spans="2:23" ht="18.75" customHeight="1">
      <c r="C965" s="96" t="s">
        <v>3708</v>
      </c>
      <c r="D965" s="97"/>
      <c r="E965" s="108" t="s">
        <v>162</v>
      </c>
      <c r="H965" s="36"/>
      <c r="I965" s="36"/>
      <c r="J965" s="36"/>
      <c r="K965" s="36"/>
      <c r="L965" s="36"/>
      <c r="M965" s="36"/>
      <c r="N965" s="36"/>
      <c r="O965" s="36"/>
      <c r="P965" s="36"/>
      <c r="Q965" s="36"/>
      <c r="R965" s="96" t="str">
        <f>"バックアップ_"&amp;SUBSTITUTE(C965,"_結合","")</f>
        <v>バックアップ_MML_紹介状モジュール_処方箋薬剤</v>
      </c>
      <c r="S965" s="97"/>
      <c r="T965" s="100" t="str">
        <f>エンティティ一覧!$O$2</f>
        <v>milscm_2023_010</v>
      </c>
    </row>
    <row r="966" spans="2:23" ht="18.75" customHeight="1">
      <c r="C966" s="98"/>
      <c r="D966" s="99"/>
      <c r="E966" s="109"/>
      <c r="F966" s="37"/>
      <c r="G966" s="38"/>
      <c r="H966" s="37"/>
      <c r="I966" s="37"/>
      <c r="J966" s="37"/>
      <c r="K966" s="37"/>
      <c r="L966" s="37"/>
      <c r="M966" s="37"/>
      <c r="N966" s="37"/>
      <c r="O966" s="37"/>
      <c r="P966" s="37"/>
      <c r="Q966" s="37"/>
      <c r="R966" s="98"/>
      <c r="S966" s="99"/>
      <c r="T966" s="101"/>
    </row>
    <row r="967" spans="2:23" ht="18.75" customHeight="1">
      <c r="F967" s="39"/>
      <c r="G967" s="40"/>
    </row>
    <row r="968" spans="2:23" ht="18.75" customHeight="1">
      <c r="C968" s="96" t="s">
        <v>3229</v>
      </c>
      <c r="D968" s="97"/>
      <c r="E968" s="100" t="str">
        <f>エンティティ一覧!$O$2</f>
        <v>milscm_2023_010</v>
      </c>
      <c r="G968" s="41"/>
    </row>
    <row r="969" spans="2:23" ht="18.75" customHeight="1">
      <c r="C969" s="98"/>
      <c r="D969" s="99"/>
      <c r="E969" s="101"/>
      <c r="F969" s="37"/>
    </row>
    <row r="971" spans="2:23" ht="18.75" customHeight="1" thickBot="1">
      <c r="B971" s="42"/>
      <c r="C971" s="42"/>
      <c r="D971" s="42"/>
      <c r="E971" s="42"/>
      <c r="F971" s="42"/>
      <c r="G971" s="42"/>
      <c r="H971" s="42"/>
      <c r="I971" s="42"/>
      <c r="J971" s="42"/>
      <c r="K971" s="42"/>
      <c r="L971" s="42"/>
      <c r="M971" s="42"/>
      <c r="N971" s="42"/>
      <c r="O971" s="42"/>
      <c r="P971" s="42"/>
      <c r="Q971" s="42"/>
      <c r="R971" s="42"/>
      <c r="S971" s="42"/>
      <c r="T971" s="42"/>
      <c r="U971" s="42"/>
    </row>
    <row r="973" spans="2:23" ht="18.75" customHeight="1">
      <c r="B973" s="43" t="s">
        <v>163</v>
      </c>
      <c r="C973" s="51" t="s">
        <v>3709</v>
      </c>
      <c r="D973" s="90"/>
      <c r="W973" s="35" t="str">
        <f>"-- "&amp;B973&amp;" : "&amp;C973</f>
        <v>-- SQL_ID : 01_A6-62</v>
      </c>
    </row>
    <row r="974" spans="2:23" ht="18.75" customHeight="1">
      <c r="B974" s="43" t="s">
        <v>158</v>
      </c>
      <c r="C974" s="102" t="str">
        <f>R977&amp;"登録"</f>
        <v>バックアップ_MML_紹介状モジュール_臨床サマリー情報経過記録登録</v>
      </c>
      <c r="D974" s="103"/>
      <c r="E974" s="103"/>
      <c r="F974" s="103"/>
      <c r="G974" s="103"/>
      <c r="H974" s="103"/>
      <c r="I974" s="103"/>
      <c r="J974" s="103"/>
      <c r="K974" s="103"/>
      <c r="L974" s="103"/>
      <c r="M974" s="103"/>
      <c r="N974" s="103"/>
      <c r="O974" s="103"/>
      <c r="P974" s="103"/>
      <c r="Q974" s="103"/>
      <c r="R974" s="103"/>
      <c r="S974" s="103"/>
      <c r="T974" s="103"/>
      <c r="U974" s="104"/>
      <c r="W974" s="35" t="str">
        <f>"-- "&amp;C974</f>
        <v>-- バックアップ_MML_紹介状モジュール_臨床サマリー情報経過記録登録</v>
      </c>
    </row>
    <row r="975" spans="2:23" ht="18.75" customHeight="1">
      <c r="B975" s="43" t="s">
        <v>159</v>
      </c>
      <c r="C975" s="105" t="str">
        <f>C977&amp;"テーブルから組入れ条件の第一条件で絞り込んだ結果を"&amp;R977&amp;"テーブルに格納する。"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975" s="106"/>
      <c r="E975" s="106"/>
      <c r="F975" s="106"/>
      <c r="G975" s="106"/>
      <c r="H975" s="106"/>
      <c r="I975" s="106"/>
      <c r="J975" s="106"/>
      <c r="K975" s="106"/>
      <c r="L975" s="106"/>
      <c r="M975" s="106"/>
      <c r="N975" s="106"/>
      <c r="O975" s="106"/>
      <c r="P975" s="106"/>
      <c r="Q975" s="106"/>
      <c r="R975" s="106"/>
      <c r="S975" s="106"/>
      <c r="T975" s="106"/>
      <c r="U975" s="107"/>
      <c r="W975" s="35" t="str">
        <f>"-- "&amp;C975</f>
        <v>-- MML_紹介状モジュール_臨床サマリー情報経過記録テーブルから組入れ条件の第一条件で絞り込んだ結果をバックアップ_MML_紹介状モジュール_臨床サマリー情報経過記録テーブルに格納する。</v>
      </c>
    </row>
    <row r="977" spans="2:23" ht="18.75" customHeight="1">
      <c r="C977" s="96" t="s">
        <v>3710</v>
      </c>
      <c r="D977" s="97"/>
      <c r="E977" s="108" t="s">
        <v>162</v>
      </c>
      <c r="H977" s="36"/>
      <c r="I977" s="36"/>
      <c r="J977" s="36"/>
      <c r="K977" s="36"/>
      <c r="L977" s="36"/>
      <c r="M977" s="36"/>
      <c r="N977" s="36"/>
      <c r="O977" s="36"/>
      <c r="P977" s="36"/>
      <c r="Q977" s="36"/>
      <c r="R977" s="110" t="str">
        <f>"バックアップ_"&amp;SUBSTITUTE(C977,"_結合","")</f>
        <v>バックアップ_MML_紹介状モジュール_臨床サマリー情報経過記録</v>
      </c>
      <c r="S977" s="111"/>
      <c r="T977" s="100" t="str">
        <f>エンティティ一覧!$O$2</f>
        <v>milscm_2023_010</v>
      </c>
    </row>
    <row r="978" spans="2:23" ht="18.75" customHeight="1">
      <c r="C978" s="98"/>
      <c r="D978" s="99"/>
      <c r="E978" s="109"/>
      <c r="F978" s="37"/>
      <c r="G978" s="38"/>
      <c r="H978" s="37"/>
      <c r="I978" s="37"/>
      <c r="J978" s="37"/>
      <c r="K978" s="37"/>
      <c r="L978" s="37"/>
      <c r="M978" s="37"/>
      <c r="N978" s="37"/>
      <c r="O978" s="37"/>
      <c r="P978" s="37"/>
      <c r="Q978" s="37"/>
      <c r="R978" s="112"/>
      <c r="S978" s="113"/>
      <c r="T978" s="101"/>
    </row>
    <row r="979" spans="2:23" ht="18.75" customHeight="1">
      <c r="F979" s="39"/>
      <c r="G979" s="40"/>
    </row>
    <row r="980" spans="2:23" ht="18.75" customHeight="1">
      <c r="C980" s="96" t="s">
        <v>3229</v>
      </c>
      <c r="D980" s="97"/>
      <c r="E980" s="100" t="str">
        <f>エンティティ一覧!$O$2</f>
        <v>milscm_2023_010</v>
      </c>
      <c r="G980" s="41"/>
    </row>
    <row r="981" spans="2:23" ht="18.75" customHeight="1">
      <c r="C981" s="98"/>
      <c r="D981" s="99"/>
      <c r="E981" s="101"/>
      <c r="F981" s="37"/>
    </row>
    <row r="983" spans="2:23" ht="18.75" customHeight="1" thickBot="1">
      <c r="B983" s="42"/>
      <c r="C983" s="42"/>
      <c r="D983" s="42"/>
      <c r="E983" s="42"/>
      <c r="F983" s="42"/>
      <c r="G983" s="42"/>
      <c r="H983" s="42"/>
      <c r="I983" s="42"/>
      <c r="J983" s="42"/>
      <c r="K983" s="42"/>
      <c r="L983" s="42"/>
      <c r="M983" s="42"/>
      <c r="N983" s="42"/>
      <c r="O983" s="42"/>
      <c r="P983" s="42"/>
      <c r="Q983" s="42"/>
      <c r="R983" s="42"/>
      <c r="S983" s="42"/>
      <c r="T983" s="42"/>
      <c r="U983" s="42"/>
    </row>
    <row r="985" spans="2:23" ht="18.75" customHeight="1">
      <c r="B985" s="43" t="s">
        <v>163</v>
      </c>
      <c r="C985" s="51" t="s">
        <v>3711</v>
      </c>
      <c r="D985" s="90"/>
      <c r="W985" s="35" t="str">
        <f>"-- "&amp;B985&amp;" : "&amp;C985</f>
        <v>-- SQL_ID : 01_A6-63</v>
      </c>
    </row>
    <row r="986" spans="2:23" ht="18.75" customHeight="1">
      <c r="B986" s="43" t="s">
        <v>158</v>
      </c>
      <c r="C986" s="102" t="str">
        <f>R989&amp;"登録"</f>
        <v>バックアップ_MML_紹介状モジュール_診療科情報登録</v>
      </c>
      <c r="D986" s="103"/>
      <c r="E986" s="103"/>
      <c r="F986" s="103"/>
      <c r="G986" s="103"/>
      <c r="H986" s="103"/>
      <c r="I986" s="103"/>
      <c r="J986" s="103"/>
      <c r="K986" s="103"/>
      <c r="L986" s="103"/>
      <c r="M986" s="103"/>
      <c r="N986" s="103"/>
      <c r="O986" s="103"/>
      <c r="P986" s="103"/>
      <c r="Q986" s="103"/>
      <c r="R986" s="103"/>
      <c r="S986" s="103"/>
      <c r="T986" s="103"/>
      <c r="U986" s="104"/>
      <c r="W986" s="35" t="str">
        <f>"-- "&amp;C986</f>
        <v>-- バックアップ_MML_紹介状モジュール_診療科情報登録</v>
      </c>
    </row>
    <row r="987" spans="2:23" ht="18.75" customHeight="1">
      <c r="B987" s="43" t="s">
        <v>159</v>
      </c>
      <c r="C987" s="105" t="str">
        <f>C989&amp;"テーブルから組入れ条件の第一条件で絞り込んだ結果を"&amp;R989&amp;"テーブルに格納する。"</f>
        <v>MML_紹介状モジュール_診療科情報テーブルから組入れ条件の第一条件で絞り込んだ結果をバックアップ_MML_紹介状モジュール_診療科情報テーブルに格納する。</v>
      </c>
      <c r="D987" s="106"/>
      <c r="E987" s="106"/>
      <c r="F987" s="106"/>
      <c r="G987" s="106"/>
      <c r="H987" s="106"/>
      <c r="I987" s="106"/>
      <c r="J987" s="106"/>
      <c r="K987" s="106"/>
      <c r="L987" s="106"/>
      <c r="M987" s="106"/>
      <c r="N987" s="106"/>
      <c r="O987" s="106"/>
      <c r="P987" s="106"/>
      <c r="Q987" s="106"/>
      <c r="R987" s="106"/>
      <c r="S987" s="106"/>
      <c r="T987" s="106"/>
      <c r="U987" s="107"/>
      <c r="W987" s="35" t="str">
        <f>"-- "&amp;C987</f>
        <v>-- MML_紹介状モジュール_診療科情報テーブルから組入れ条件の第一条件で絞り込んだ結果をバックアップ_MML_紹介状モジュール_診療科情報テーブルに格納する。</v>
      </c>
    </row>
    <row r="989" spans="2:23" ht="18.75" customHeight="1">
      <c r="C989" s="96" t="s">
        <v>3712</v>
      </c>
      <c r="D989" s="97"/>
      <c r="E989" s="108" t="s">
        <v>162</v>
      </c>
      <c r="H989" s="36"/>
      <c r="I989" s="36"/>
      <c r="J989" s="36"/>
      <c r="K989" s="36"/>
      <c r="L989" s="36"/>
      <c r="M989" s="36"/>
      <c r="N989" s="36"/>
      <c r="O989" s="36"/>
      <c r="P989" s="36"/>
      <c r="Q989" s="36"/>
      <c r="R989" s="96" t="str">
        <f>"バックアップ_"&amp;SUBSTITUTE(C989,"_結合","")</f>
        <v>バックアップ_MML_紹介状モジュール_診療科情報</v>
      </c>
      <c r="S989" s="97"/>
      <c r="T989" s="100" t="str">
        <f>エンティティ一覧!$O$2</f>
        <v>milscm_2023_010</v>
      </c>
    </row>
    <row r="990" spans="2:23" ht="18.75" customHeight="1">
      <c r="C990" s="98"/>
      <c r="D990" s="99"/>
      <c r="E990" s="109"/>
      <c r="F990" s="37"/>
      <c r="G990" s="38"/>
      <c r="H990" s="37"/>
      <c r="I990" s="37"/>
      <c r="J990" s="37"/>
      <c r="K990" s="37"/>
      <c r="L990" s="37"/>
      <c r="M990" s="37"/>
      <c r="N990" s="37"/>
      <c r="O990" s="37"/>
      <c r="P990" s="37"/>
      <c r="Q990" s="37"/>
      <c r="R990" s="98"/>
      <c r="S990" s="99"/>
      <c r="T990" s="101"/>
    </row>
    <row r="991" spans="2:23" ht="18.75" customHeight="1">
      <c r="F991" s="39"/>
      <c r="G991" s="40"/>
    </row>
    <row r="992" spans="2:23" ht="18.75" customHeight="1">
      <c r="C992" s="96" t="s">
        <v>3229</v>
      </c>
      <c r="D992" s="97"/>
      <c r="E992" s="100" t="str">
        <f>エンティティ一覧!$O$2</f>
        <v>milscm_2023_010</v>
      </c>
      <c r="G992" s="41"/>
    </row>
    <row r="993" spans="2:23" ht="18.75" customHeight="1">
      <c r="C993" s="98"/>
      <c r="D993" s="99"/>
      <c r="E993" s="101"/>
      <c r="F993" s="37"/>
    </row>
    <row r="995" spans="2:23" ht="18.75" customHeight="1" thickBot="1">
      <c r="B995" s="42"/>
      <c r="C995" s="42"/>
      <c r="D995" s="42"/>
      <c r="E995" s="42"/>
      <c r="F995" s="42"/>
      <c r="G995" s="42"/>
      <c r="H995" s="42"/>
      <c r="I995" s="42"/>
      <c r="J995" s="42"/>
      <c r="K995" s="42"/>
      <c r="L995" s="42"/>
      <c r="M995" s="42"/>
      <c r="N995" s="42"/>
      <c r="O995" s="42"/>
      <c r="P995" s="42"/>
      <c r="Q995" s="42"/>
      <c r="R995" s="42"/>
      <c r="S995" s="42"/>
      <c r="T995" s="42"/>
      <c r="U995" s="42"/>
    </row>
    <row r="997" spans="2:23" ht="18.75" customHeight="1">
      <c r="B997" s="43" t="s">
        <v>163</v>
      </c>
      <c r="C997" s="51" t="s">
        <v>3217</v>
      </c>
      <c r="D997" s="50"/>
      <c r="W997" s="35" t="str">
        <f>"-- "&amp;B997&amp;" : "&amp;C997</f>
        <v>-- SQL_ID : 01_C1-01</v>
      </c>
    </row>
    <row r="998" spans="2:23" ht="18.75" customHeight="1">
      <c r="B998" s="43" t="s">
        <v>158</v>
      </c>
      <c r="C998" s="102" t="str">
        <f>R1001&amp;"登録"</f>
        <v>バックアップ_DPC調査データ_Dファイル登録</v>
      </c>
      <c r="D998" s="103"/>
      <c r="E998" s="103"/>
      <c r="F998" s="103"/>
      <c r="G998" s="103"/>
      <c r="H998" s="103"/>
      <c r="I998" s="103"/>
      <c r="J998" s="103"/>
      <c r="K998" s="103"/>
      <c r="L998" s="103"/>
      <c r="M998" s="103"/>
      <c r="N998" s="103"/>
      <c r="O998" s="103"/>
      <c r="P998" s="103"/>
      <c r="Q998" s="103"/>
      <c r="R998" s="103"/>
      <c r="S998" s="103"/>
      <c r="T998" s="103"/>
      <c r="U998" s="104"/>
      <c r="W998" s="35" t="str">
        <f>"-- "&amp;C998</f>
        <v>-- バックアップ_DPC調査データ_Dファイル登録</v>
      </c>
    </row>
    <row r="999" spans="2:23" ht="18.75" customHeight="1">
      <c r="B999" s="43" t="s">
        <v>159</v>
      </c>
      <c r="C999" s="105" t="str">
        <f>C1001&amp;"テーブルから組入れ条件の第一条件で絞り込んだ結果を"&amp;R1001&amp;"テーブルに格納する。"</f>
        <v>DPC調査データ_Dファイル_結合テーブルから組入れ条件の第一条件で絞り込んだ結果をバックアップ_DPC調査データ_Dファイルテーブルに格納する。</v>
      </c>
      <c r="D999" s="106"/>
      <c r="E999" s="106"/>
      <c r="F999" s="106"/>
      <c r="G999" s="106"/>
      <c r="H999" s="106"/>
      <c r="I999" s="106"/>
      <c r="J999" s="106"/>
      <c r="K999" s="106"/>
      <c r="L999" s="106"/>
      <c r="M999" s="106"/>
      <c r="N999" s="106"/>
      <c r="O999" s="106"/>
      <c r="P999" s="106"/>
      <c r="Q999" s="106"/>
      <c r="R999" s="106"/>
      <c r="S999" s="106"/>
      <c r="T999" s="106"/>
      <c r="U999" s="107"/>
      <c r="W999" s="35" t="str">
        <f>"-- "&amp;C999</f>
        <v>-- DPC調査データ_Dファイル_結合テーブルから組入れ条件の第一条件で絞り込んだ結果をバックアップ_DPC調査データ_Dファイルテーブルに格納する。</v>
      </c>
    </row>
    <row r="1001" spans="2:23" ht="18.75" customHeight="1">
      <c r="C1001" s="96" t="s">
        <v>166</v>
      </c>
      <c r="D1001" s="97"/>
      <c r="E1001" s="108" t="s">
        <v>162</v>
      </c>
      <c r="H1001" s="36"/>
      <c r="I1001" s="36"/>
      <c r="J1001" s="36"/>
      <c r="K1001" s="36"/>
      <c r="L1001" s="36"/>
      <c r="M1001" s="36"/>
      <c r="N1001" s="36"/>
      <c r="O1001" s="36"/>
      <c r="P1001" s="36"/>
      <c r="Q1001" s="36"/>
      <c r="R1001" s="96" t="str">
        <f>"バックアップ_"&amp;SUBSTITUTE(C1001,"_結合","")</f>
        <v>バックアップ_DPC調査データ_Dファイル</v>
      </c>
      <c r="S1001" s="97"/>
      <c r="T1001" s="100" t="str">
        <f>エンティティ一覧!$O$2</f>
        <v>milscm_2023_010</v>
      </c>
    </row>
    <row r="1002" spans="2:23" ht="18.75" customHeight="1">
      <c r="C1002" s="98"/>
      <c r="D1002" s="99"/>
      <c r="E1002" s="109"/>
      <c r="F1002" s="37"/>
      <c r="G1002" s="38"/>
      <c r="H1002" s="37"/>
      <c r="I1002" s="37"/>
      <c r="J1002" s="37"/>
      <c r="K1002" s="37"/>
      <c r="L1002" s="37"/>
      <c r="M1002" s="37"/>
      <c r="N1002" s="37"/>
      <c r="O1002" s="37"/>
      <c r="P1002" s="37"/>
      <c r="Q1002" s="37"/>
      <c r="R1002" s="98"/>
      <c r="S1002" s="99"/>
      <c r="T1002" s="101"/>
    </row>
    <row r="1003" spans="2:23" ht="18.75" customHeight="1">
      <c r="F1003" s="39"/>
      <c r="G1003" s="40"/>
    </row>
    <row r="1004" spans="2:23" ht="18.75" customHeight="1">
      <c r="C1004" s="96" t="s">
        <v>3229</v>
      </c>
      <c r="D1004" s="97"/>
      <c r="E1004" s="100" t="str">
        <f>エンティティ一覧!$O$2</f>
        <v>milscm_2023_010</v>
      </c>
      <c r="G1004" s="41"/>
    </row>
    <row r="1005" spans="2:23" ht="18.75" customHeight="1">
      <c r="C1005" s="98"/>
      <c r="D1005" s="99"/>
      <c r="E1005" s="101"/>
      <c r="F1005" s="37"/>
    </row>
    <row r="1007" spans="2:23" ht="18.75" customHeight="1" thickBot="1">
      <c r="B1007" s="42"/>
      <c r="C1007" s="42"/>
      <c r="D1007" s="42"/>
      <c r="E1007" s="42"/>
      <c r="F1007" s="42"/>
      <c r="G1007" s="42"/>
      <c r="H1007" s="42"/>
      <c r="I1007" s="42"/>
      <c r="J1007" s="42"/>
      <c r="K1007" s="42"/>
      <c r="L1007" s="42"/>
      <c r="M1007" s="42"/>
      <c r="N1007" s="42"/>
      <c r="O1007" s="42"/>
      <c r="P1007" s="42"/>
      <c r="Q1007" s="42"/>
      <c r="R1007" s="42"/>
      <c r="S1007" s="42"/>
      <c r="T1007" s="42"/>
      <c r="U1007" s="42"/>
    </row>
    <row r="1009" spans="2:23" ht="18.75" customHeight="1">
      <c r="B1009" s="43" t="s">
        <v>163</v>
      </c>
      <c r="C1009" s="51" t="s">
        <v>3218</v>
      </c>
      <c r="D1009" s="50"/>
      <c r="W1009" s="35" t="str">
        <f>"-- "&amp;B1009&amp;" : "&amp;C1009</f>
        <v>-- SQL_ID : 01_C1-02</v>
      </c>
    </row>
    <row r="1010" spans="2:23" ht="18.75" customHeight="1">
      <c r="B1010" s="43" t="s">
        <v>158</v>
      </c>
      <c r="C1010" s="102" t="str">
        <f>R1013&amp;"登録"</f>
        <v>バックアップ_DPC調査データ_入院EF統合ファイル登録</v>
      </c>
      <c r="D1010" s="103"/>
      <c r="E1010" s="103"/>
      <c r="F1010" s="103"/>
      <c r="G1010" s="103"/>
      <c r="H1010" s="103"/>
      <c r="I1010" s="103"/>
      <c r="J1010" s="103"/>
      <c r="K1010" s="103"/>
      <c r="L1010" s="103"/>
      <c r="M1010" s="103"/>
      <c r="N1010" s="103"/>
      <c r="O1010" s="103"/>
      <c r="P1010" s="103"/>
      <c r="Q1010" s="103"/>
      <c r="R1010" s="103"/>
      <c r="S1010" s="103"/>
      <c r="T1010" s="103"/>
      <c r="U1010" s="104"/>
      <c r="W1010" s="35" t="str">
        <f>"-- "&amp;C1010</f>
        <v>-- バックアップ_DPC調査データ_入院EF統合ファイル登録</v>
      </c>
    </row>
    <row r="1011" spans="2:23" ht="18.75" customHeight="1">
      <c r="B1011" s="43" t="s">
        <v>159</v>
      </c>
      <c r="C1011" s="105" t="str">
        <f>C1013&amp;"テーブルから組入れ条件の第一条件で絞り込んだ結果を"&amp;R1013&amp;"テーブルに格納する。"</f>
        <v>DPC調査データ_入院EF統合ファイル_結合テーブルから組入れ条件の第一条件で絞り込んだ結果をバックアップ_DPC調査データ_入院EF統合ファイルテーブルに格納する。</v>
      </c>
      <c r="D1011" s="106"/>
      <c r="E1011" s="106"/>
      <c r="F1011" s="106"/>
      <c r="G1011" s="106"/>
      <c r="H1011" s="106"/>
      <c r="I1011" s="106"/>
      <c r="J1011" s="106"/>
      <c r="K1011" s="106"/>
      <c r="L1011" s="106"/>
      <c r="M1011" s="106"/>
      <c r="N1011" s="106"/>
      <c r="O1011" s="106"/>
      <c r="P1011" s="106"/>
      <c r="Q1011" s="106"/>
      <c r="R1011" s="106"/>
      <c r="S1011" s="106"/>
      <c r="T1011" s="106"/>
      <c r="U1011" s="107"/>
      <c r="W1011" s="35" t="str">
        <f>"-- "&amp;C1011</f>
        <v>-- DPC調査データ_入院EF統合ファイル_結合テーブルから組入れ条件の第一条件で絞り込んだ結果をバックアップ_DPC調査データ_入院EF統合ファイルテーブルに格納する。</v>
      </c>
    </row>
    <row r="1013" spans="2:23" ht="18.75" customHeight="1">
      <c r="C1013" s="96" t="s">
        <v>168</v>
      </c>
      <c r="D1013" s="97"/>
      <c r="E1013" s="108" t="s">
        <v>162</v>
      </c>
      <c r="H1013" s="36"/>
      <c r="I1013" s="36"/>
      <c r="J1013" s="36"/>
      <c r="K1013" s="36"/>
      <c r="L1013" s="36"/>
      <c r="M1013" s="36"/>
      <c r="N1013" s="36"/>
      <c r="O1013" s="36"/>
      <c r="P1013" s="36"/>
      <c r="Q1013" s="36"/>
      <c r="R1013" s="96" t="str">
        <f>"バックアップ_"&amp;SUBSTITUTE(C1013,"_結合","")</f>
        <v>バックアップ_DPC調査データ_入院EF統合ファイル</v>
      </c>
      <c r="S1013" s="97"/>
      <c r="T1013" s="100" t="str">
        <f>エンティティ一覧!$O$2</f>
        <v>milscm_2023_010</v>
      </c>
    </row>
    <row r="1014" spans="2:23" ht="18.75" customHeight="1">
      <c r="C1014" s="98"/>
      <c r="D1014" s="99"/>
      <c r="E1014" s="109"/>
      <c r="F1014" s="37"/>
      <c r="G1014" s="38"/>
      <c r="H1014" s="37"/>
      <c r="I1014" s="37"/>
      <c r="J1014" s="37"/>
      <c r="K1014" s="37"/>
      <c r="L1014" s="37"/>
      <c r="M1014" s="37"/>
      <c r="N1014" s="37"/>
      <c r="O1014" s="37"/>
      <c r="P1014" s="37"/>
      <c r="Q1014" s="37"/>
      <c r="R1014" s="98"/>
      <c r="S1014" s="99"/>
      <c r="T1014" s="101"/>
    </row>
    <row r="1015" spans="2:23" ht="18.75" customHeight="1">
      <c r="F1015" s="39"/>
      <c r="G1015" s="40"/>
    </row>
    <row r="1016" spans="2:23" ht="18.75" customHeight="1">
      <c r="C1016" s="96" t="s">
        <v>3229</v>
      </c>
      <c r="D1016" s="97"/>
      <c r="E1016" s="100" t="str">
        <f>エンティティ一覧!$O$2</f>
        <v>milscm_2023_010</v>
      </c>
      <c r="G1016" s="41"/>
    </row>
    <row r="1017" spans="2:23" ht="18.75" customHeight="1">
      <c r="C1017" s="98"/>
      <c r="D1017" s="99"/>
      <c r="E1017" s="101"/>
      <c r="F1017" s="37"/>
    </row>
    <row r="1019" spans="2:23" ht="18.75" customHeight="1" thickBot="1">
      <c r="B1019" s="42"/>
      <c r="C1019" s="42"/>
      <c r="D1019" s="42"/>
      <c r="E1019" s="42"/>
      <c r="F1019" s="42"/>
      <c r="G1019" s="42"/>
      <c r="H1019" s="42"/>
      <c r="I1019" s="42"/>
      <c r="J1019" s="42"/>
      <c r="K1019" s="42"/>
      <c r="L1019" s="42"/>
      <c r="M1019" s="42"/>
      <c r="N1019" s="42"/>
      <c r="O1019" s="42"/>
      <c r="P1019" s="42"/>
      <c r="Q1019" s="42"/>
      <c r="R1019" s="42"/>
      <c r="S1019" s="42"/>
      <c r="T1019" s="42"/>
      <c r="U1019" s="42"/>
    </row>
    <row r="1021" spans="2:23" ht="18.75" customHeight="1">
      <c r="B1021" s="43" t="s">
        <v>163</v>
      </c>
      <c r="C1021" s="51" t="s">
        <v>3219</v>
      </c>
      <c r="D1021" s="50"/>
      <c r="W1021" s="35" t="str">
        <f>"-- "&amp;B1021&amp;" : "&amp;C1021</f>
        <v>-- SQL_ID : 01_C1-03</v>
      </c>
    </row>
    <row r="1022" spans="2:23" ht="18.75" customHeight="1">
      <c r="B1022" s="43" t="s">
        <v>158</v>
      </c>
      <c r="C1022" s="102" t="str">
        <f>R1025&amp;"登録"</f>
        <v>バックアップ_DPC調査データ_外来EF統合ファイル登録</v>
      </c>
      <c r="D1022" s="103"/>
      <c r="E1022" s="103"/>
      <c r="F1022" s="103"/>
      <c r="G1022" s="103"/>
      <c r="H1022" s="103"/>
      <c r="I1022" s="103"/>
      <c r="J1022" s="103"/>
      <c r="K1022" s="103"/>
      <c r="L1022" s="103"/>
      <c r="M1022" s="103"/>
      <c r="N1022" s="103"/>
      <c r="O1022" s="103"/>
      <c r="P1022" s="103"/>
      <c r="Q1022" s="103"/>
      <c r="R1022" s="103"/>
      <c r="S1022" s="103"/>
      <c r="T1022" s="103"/>
      <c r="U1022" s="104"/>
      <c r="W1022" s="35" t="str">
        <f>"-- "&amp;C1022</f>
        <v>-- バックアップ_DPC調査データ_外来EF統合ファイル登録</v>
      </c>
    </row>
    <row r="1023" spans="2:23" ht="18.75" customHeight="1">
      <c r="B1023" s="43" t="s">
        <v>159</v>
      </c>
      <c r="C1023" s="105" t="str">
        <f>C1025&amp;"テーブルから組入れ条件の第一条件で絞り込んだ結果を"&amp;R1025&amp;"テーブルに格納する。"</f>
        <v>DPC調査データ_外来EF統合ファイル_結合テーブルから組入れ条件の第一条件で絞り込んだ結果をバックアップ_DPC調査データ_外来EF統合ファイルテーブルに格納する。</v>
      </c>
      <c r="D1023" s="106"/>
      <c r="E1023" s="106"/>
      <c r="F1023" s="106"/>
      <c r="G1023" s="106"/>
      <c r="H1023" s="106"/>
      <c r="I1023" s="106"/>
      <c r="J1023" s="106"/>
      <c r="K1023" s="106"/>
      <c r="L1023" s="106"/>
      <c r="M1023" s="106"/>
      <c r="N1023" s="106"/>
      <c r="O1023" s="106"/>
      <c r="P1023" s="106"/>
      <c r="Q1023" s="106"/>
      <c r="R1023" s="106"/>
      <c r="S1023" s="106"/>
      <c r="T1023" s="106"/>
      <c r="U1023" s="107"/>
      <c r="W1023" s="35" t="str">
        <f>"-- "&amp;C1023</f>
        <v>-- DPC調査データ_外来EF統合ファイル_結合テーブルから組入れ条件の第一条件で絞り込んだ結果をバックアップ_DPC調査データ_外来EF統合ファイルテーブルに格納する。</v>
      </c>
    </row>
    <row r="1025" spans="2:23" ht="18.75" customHeight="1">
      <c r="C1025" s="96" t="s">
        <v>169</v>
      </c>
      <c r="D1025" s="97"/>
      <c r="E1025" s="108" t="s">
        <v>162</v>
      </c>
      <c r="H1025" s="36"/>
      <c r="I1025" s="36"/>
      <c r="J1025" s="36"/>
      <c r="K1025" s="36"/>
      <c r="L1025" s="36"/>
      <c r="M1025" s="36"/>
      <c r="N1025" s="36"/>
      <c r="O1025" s="36"/>
      <c r="P1025" s="36"/>
      <c r="Q1025" s="36"/>
      <c r="R1025" s="96" t="str">
        <f>"バックアップ_"&amp;SUBSTITUTE(C1025,"_結合","")</f>
        <v>バックアップ_DPC調査データ_外来EF統合ファイル</v>
      </c>
      <c r="S1025" s="97"/>
      <c r="T1025" s="100" t="str">
        <f>エンティティ一覧!$O$2</f>
        <v>milscm_2023_010</v>
      </c>
    </row>
    <row r="1026" spans="2:23" ht="18.75" customHeight="1">
      <c r="C1026" s="98"/>
      <c r="D1026" s="99"/>
      <c r="E1026" s="109"/>
      <c r="F1026" s="37"/>
      <c r="G1026" s="38"/>
      <c r="H1026" s="37"/>
      <c r="I1026" s="37"/>
      <c r="J1026" s="37"/>
      <c r="K1026" s="37"/>
      <c r="L1026" s="37"/>
      <c r="M1026" s="37"/>
      <c r="N1026" s="37"/>
      <c r="O1026" s="37"/>
      <c r="P1026" s="37"/>
      <c r="Q1026" s="37"/>
      <c r="R1026" s="98"/>
      <c r="S1026" s="99"/>
      <c r="T1026" s="101"/>
    </row>
    <row r="1027" spans="2:23" ht="18.75" customHeight="1">
      <c r="F1027" s="39"/>
      <c r="G1027" s="40"/>
    </row>
    <row r="1028" spans="2:23" ht="18.75" customHeight="1">
      <c r="C1028" s="96" t="s">
        <v>3229</v>
      </c>
      <c r="D1028" s="97"/>
      <c r="E1028" s="100" t="str">
        <f>エンティティ一覧!$O$2</f>
        <v>milscm_2023_010</v>
      </c>
      <c r="G1028" s="41"/>
    </row>
    <row r="1029" spans="2:23" ht="18.75" customHeight="1">
      <c r="C1029" s="98"/>
      <c r="D1029" s="99"/>
      <c r="E1029" s="101"/>
      <c r="F1029" s="37"/>
    </row>
    <row r="1031" spans="2:23" ht="18.75" customHeight="1" thickBot="1">
      <c r="B1031" s="42"/>
      <c r="C1031" s="42"/>
      <c r="D1031" s="42"/>
      <c r="E1031" s="42"/>
      <c r="F1031" s="42"/>
      <c r="G1031" s="42"/>
      <c r="H1031" s="42"/>
      <c r="I1031" s="42"/>
      <c r="J1031" s="42"/>
      <c r="K1031" s="42"/>
      <c r="L1031" s="42"/>
      <c r="M1031" s="42"/>
      <c r="N1031" s="42"/>
      <c r="O1031" s="42"/>
      <c r="P1031" s="42"/>
      <c r="Q1031" s="42"/>
      <c r="R1031" s="42"/>
      <c r="S1031" s="42"/>
      <c r="T1031" s="42"/>
      <c r="U1031" s="42"/>
    </row>
    <row r="1033" spans="2:23" ht="18.75" customHeight="1">
      <c r="B1033" s="43" t="s">
        <v>163</v>
      </c>
      <c r="C1033" s="51" t="s">
        <v>3220</v>
      </c>
      <c r="D1033" s="50"/>
      <c r="W1033" s="35" t="str">
        <f>"-- "&amp;B1033&amp;" : "&amp;C1033</f>
        <v>-- SQL_ID : 01_C1-04</v>
      </c>
    </row>
    <row r="1034" spans="2:23" ht="18.75" customHeight="1">
      <c r="B1034" s="43" t="s">
        <v>158</v>
      </c>
      <c r="C1034" s="102" t="str">
        <f>R1037&amp;"登録"</f>
        <v>バックアップ_DPC調査データ_Hファイル登録</v>
      </c>
      <c r="D1034" s="103"/>
      <c r="E1034" s="103"/>
      <c r="F1034" s="103"/>
      <c r="G1034" s="103"/>
      <c r="H1034" s="103"/>
      <c r="I1034" s="103"/>
      <c r="J1034" s="103"/>
      <c r="K1034" s="103"/>
      <c r="L1034" s="103"/>
      <c r="M1034" s="103"/>
      <c r="N1034" s="103"/>
      <c r="O1034" s="103"/>
      <c r="P1034" s="103"/>
      <c r="Q1034" s="103"/>
      <c r="R1034" s="103"/>
      <c r="S1034" s="103"/>
      <c r="T1034" s="103"/>
      <c r="U1034" s="104"/>
      <c r="W1034" s="35" t="str">
        <f>"-- "&amp;C1034</f>
        <v>-- バックアップ_DPC調査データ_Hファイル登録</v>
      </c>
    </row>
    <row r="1035" spans="2:23" ht="18.75" customHeight="1">
      <c r="B1035" s="43" t="s">
        <v>159</v>
      </c>
      <c r="C1035" s="105" t="str">
        <f>C1037&amp;"テーブルから組入れ条件の第一条件で絞り込んだ結果を"&amp;R1037&amp;"テーブルに格納する。"</f>
        <v>DPC調査データ_Hファイル_結合テーブルから組入れ条件の第一条件で絞り込んだ結果をバックアップ_DPC調査データ_Hファイルテーブルに格納する。</v>
      </c>
      <c r="D1035" s="106"/>
      <c r="E1035" s="106"/>
      <c r="F1035" s="106"/>
      <c r="G1035" s="106"/>
      <c r="H1035" s="106"/>
      <c r="I1035" s="106"/>
      <c r="J1035" s="106"/>
      <c r="K1035" s="106"/>
      <c r="L1035" s="106"/>
      <c r="M1035" s="106"/>
      <c r="N1035" s="106"/>
      <c r="O1035" s="106"/>
      <c r="P1035" s="106"/>
      <c r="Q1035" s="106"/>
      <c r="R1035" s="106"/>
      <c r="S1035" s="106"/>
      <c r="T1035" s="106"/>
      <c r="U1035" s="107"/>
      <c r="W1035" s="35" t="str">
        <f>"-- "&amp;C1035</f>
        <v>-- DPC調査データ_Hファイル_結合テーブルから組入れ条件の第一条件で絞り込んだ結果をバックアップ_DPC調査データ_Hファイルテーブルに格納する。</v>
      </c>
    </row>
    <row r="1037" spans="2:23" ht="18.75" customHeight="1">
      <c r="C1037" s="96" t="s">
        <v>170</v>
      </c>
      <c r="D1037" s="97"/>
      <c r="E1037" s="108" t="s">
        <v>162</v>
      </c>
      <c r="H1037" s="36"/>
      <c r="I1037" s="36"/>
      <c r="J1037" s="36"/>
      <c r="K1037" s="36"/>
      <c r="L1037" s="36"/>
      <c r="M1037" s="36"/>
      <c r="N1037" s="36"/>
      <c r="O1037" s="36"/>
      <c r="P1037" s="36"/>
      <c r="Q1037" s="36"/>
      <c r="R1037" s="96" t="str">
        <f>"バックアップ_"&amp;SUBSTITUTE(C1037,"_結合","")</f>
        <v>バックアップ_DPC調査データ_Hファイル</v>
      </c>
      <c r="S1037" s="97"/>
      <c r="T1037" s="100" t="str">
        <f>エンティティ一覧!$O$2</f>
        <v>milscm_2023_010</v>
      </c>
    </row>
    <row r="1038" spans="2:23" ht="18.75" customHeight="1">
      <c r="C1038" s="98"/>
      <c r="D1038" s="99"/>
      <c r="E1038" s="109"/>
      <c r="F1038" s="37"/>
      <c r="G1038" s="38"/>
      <c r="H1038" s="37"/>
      <c r="I1038" s="37"/>
      <c r="J1038" s="37"/>
      <c r="K1038" s="37"/>
      <c r="L1038" s="37"/>
      <c r="M1038" s="37"/>
      <c r="N1038" s="37"/>
      <c r="O1038" s="37"/>
      <c r="P1038" s="37"/>
      <c r="Q1038" s="37"/>
      <c r="R1038" s="98"/>
      <c r="S1038" s="99"/>
      <c r="T1038" s="101"/>
    </row>
    <row r="1039" spans="2:23" ht="18.75" customHeight="1">
      <c r="F1039" s="39"/>
      <c r="G1039" s="40"/>
    </row>
    <row r="1040" spans="2:23" ht="18.75" customHeight="1">
      <c r="C1040" s="96" t="s">
        <v>3229</v>
      </c>
      <c r="D1040" s="97"/>
      <c r="E1040" s="100" t="str">
        <f>エンティティ一覧!$O$2</f>
        <v>milscm_2023_010</v>
      </c>
      <c r="G1040" s="41"/>
    </row>
    <row r="1041" spans="2:23" ht="18.75" customHeight="1">
      <c r="C1041" s="98"/>
      <c r="D1041" s="99"/>
      <c r="E1041" s="101"/>
      <c r="F1041" s="37"/>
    </row>
    <row r="1043" spans="2:23" ht="18.75" customHeight="1" thickBot="1">
      <c r="B1043" s="42"/>
      <c r="C1043" s="42"/>
      <c r="D1043" s="42"/>
      <c r="E1043" s="42"/>
      <c r="F1043" s="42"/>
      <c r="G1043" s="42"/>
      <c r="H1043" s="42"/>
      <c r="I1043" s="42"/>
      <c r="J1043" s="42"/>
      <c r="K1043" s="42"/>
      <c r="L1043" s="42"/>
      <c r="M1043" s="42"/>
      <c r="N1043" s="42"/>
      <c r="O1043" s="42"/>
      <c r="P1043" s="42"/>
      <c r="Q1043" s="42"/>
      <c r="R1043" s="42"/>
      <c r="S1043" s="42"/>
      <c r="T1043" s="42"/>
      <c r="U1043" s="42"/>
    </row>
    <row r="1045" spans="2:23" ht="18.75" customHeight="1">
      <c r="B1045" s="43" t="s">
        <v>163</v>
      </c>
      <c r="C1045" s="51" t="s">
        <v>3221</v>
      </c>
      <c r="D1045" s="50"/>
      <c r="W1045" s="35" t="str">
        <f>"-- "&amp;B1045&amp;" : "&amp;C1045</f>
        <v>-- SQL_ID : 01_C1-05</v>
      </c>
    </row>
    <row r="1046" spans="2:23" ht="18.75" customHeight="1">
      <c r="B1046" s="43" t="s">
        <v>158</v>
      </c>
      <c r="C1046" s="102" t="str">
        <f>R1049&amp;"登録"</f>
        <v>バックアップ_DPC調査データ_様式1登録</v>
      </c>
      <c r="D1046" s="103"/>
      <c r="E1046" s="103"/>
      <c r="F1046" s="103"/>
      <c r="G1046" s="103"/>
      <c r="H1046" s="103"/>
      <c r="I1046" s="103"/>
      <c r="J1046" s="103"/>
      <c r="K1046" s="103"/>
      <c r="L1046" s="103"/>
      <c r="M1046" s="103"/>
      <c r="N1046" s="103"/>
      <c r="O1046" s="103"/>
      <c r="P1046" s="103"/>
      <c r="Q1046" s="103"/>
      <c r="R1046" s="103"/>
      <c r="S1046" s="103"/>
      <c r="T1046" s="103"/>
      <c r="U1046" s="104"/>
      <c r="W1046" s="35" t="str">
        <f>"-- "&amp;C1046</f>
        <v>-- バックアップ_DPC調査データ_様式1登録</v>
      </c>
    </row>
    <row r="1047" spans="2:23" ht="18.75" customHeight="1">
      <c r="B1047" s="43" t="s">
        <v>159</v>
      </c>
      <c r="C1047" s="105" t="str">
        <f>C1049&amp;"テーブルから組入れ条件の第一条件で絞り込んだ結果を"&amp;R1049&amp;"テーブルに格納する。"</f>
        <v>DPC調査データ_様式1_結合テーブルから組入れ条件の第一条件で絞り込んだ結果をバックアップ_DPC調査データ_様式1テーブルに格納する。</v>
      </c>
      <c r="D1047" s="106"/>
      <c r="E1047" s="106"/>
      <c r="F1047" s="106"/>
      <c r="G1047" s="106"/>
      <c r="H1047" s="106"/>
      <c r="I1047" s="106"/>
      <c r="J1047" s="106"/>
      <c r="K1047" s="106"/>
      <c r="L1047" s="106"/>
      <c r="M1047" s="106"/>
      <c r="N1047" s="106"/>
      <c r="O1047" s="106"/>
      <c r="P1047" s="106"/>
      <c r="Q1047" s="106"/>
      <c r="R1047" s="106"/>
      <c r="S1047" s="106"/>
      <c r="T1047" s="106"/>
      <c r="U1047" s="107"/>
      <c r="W1047" s="35" t="str">
        <f>"-- "&amp;C1047</f>
        <v>-- DPC調査データ_様式1_結合テーブルから組入れ条件の第一条件で絞り込んだ結果をバックアップ_DPC調査データ_様式1テーブルに格納する。</v>
      </c>
    </row>
    <row r="1049" spans="2:23" ht="18.75" customHeight="1">
      <c r="C1049" s="96" t="s">
        <v>171</v>
      </c>
      <c r="D1049" s="97"/>
      <c r="E1049" s="108" t="s">
        <v>162</v>
      </c>
      <c r="H1049" s="36"/>
      <c r="I1049" s="36"/>
      <c r="J1049" s="36"/>
      <c r="K1049" s="36"/>
      <c r="L1049" s="36"/>
      <c r="M1049" s="36"/>
      <c r="N1049" s="36"/>
      <c r="O1049" s="36"/>
      <c r="P1049" s="36"/>
      <c r="Q1049" s="36"/>
      <c r="R1049" s="96" t="str">
        <f>"バックアップ_"&amp;SUBSTITUTE(C1049,"_結合","")</f>
        <v>バックアップ_DPC調査データ_様式1</v>
      </c>
      <c r="S1049" s="97"/>
      <c r="T1049" s="100" t="str">
        <f>エンティティ一覧!$O$2</f>
        <v>milscm_2023_010</v>
      </c>
    </row>
    <row r="1050" spans="2:23" ht="18.75" customHeight="1">
      <c r="C1050" s="98"/>
      <c r="D1050" s="99"/>
      <c r="E1050" s="109"/>
      <c r="F1050" s="37"/>
      <c r="G1050" s="38"/>
      <c r="H1050" s="37"/>
      <c r="I1050" s="37"/>
      <c r="J1050" s="37"/>
      <c r="K1050" s="37"/>
      <c r="L1050" s="37"/>
      <c r="M1050" s="37"/>
      <c r="N1050" s="37"/>
      <c r="O1050" s="37"/>
      <c r="P1050" s="37"/>
      <c r="Q1050" s="37"/>
      <c r="R1050" s="98"/>
      <c r="S1050" s="99"/>
      <c r="T1050" s="101"/>
    </row>
    <row r="1051" spans="2:23" ht="18.75" customHeight="1">
      <c r="F1051" s="39"/>
      <c r="G1051" s="40"/>
    </row>
    <row r="1052" spans="2:23" ht="18.75" customHeight="1">
      <c r="C1052" s="96" t="s">
        <v>3229</v>
      </c>
      <c r="D1052" s="97"/>
      <c r="E1052" s="100" t="str">
        <f>エンティティ一覧!$O$2</f>
        <v>milscm_2023_010</v>
      </c>
      <c r="G1052" s="41"/>
    </row>
    <row r="1053" spans="2:23" ht="18.75" customHeight="1">
      <c r="C1053" s="98"/>
      <c r="D1053" s="99"/>
      <c r="E1053" s="101"/>
      <c r="F1053" s="37"/>
    </row>
    <row r="1055" spans="2:23" ht="18.75" customHeight="1" thickBot="1">
      <c r="B1055" s="42"/>
      <c r="C1055" s="42"/>
      <c r="D1055" s="42"/>
      <c r="E1055" s="42"/>
      <c r="F1055" s="42"/>
      <c r="G1055" s="42"/>
      <c r="H1055" s="42"/>
      <c r="I1055" s="42"/>
      <c r="J1055" s="42"/>
      <c r="K1055" s="42"/>
      <c r="L1055" s="42"/>
      <c r="M1055" s="42"/>
      <c r="N1055" s="42"/>
      <c r="O1055" s="42"/>
      <c r="P1055" s="42"/>
      <c r="Q1055" s="42"/>
      <c r="R1055" s="42"/>
      <c r="S1055" s="42"/>
      <c r="T1055" s="42"/>
      <c r="U1055" s="42"/>
    </row>
    <row r="1057" spans="2:23" ht="18.75" customHeight="1">
      <c r="B1057" s="43" t="s">
        <v>163</v>
      </c>
      <c r="C1057" s="51" t="s">
        <v>3222</v>
      </c>
      <c r="D1057" s="50"/>
      <c r="W1057" s="35" t="str">
        <f>"-- "&amp;B1057&amp;" : "&amp;C1057</f>
        <v>-- SQL_ID : 01_C1-07</v>
      </c>
    </row>
    <row r="1058" spans="2:23" ht="18.75" customHeight="1">
      <c r="B1058" s="43" t="s">
        <v>158</v>
      </c>
      <c r="C1058" s="102" t="str">
        <f>R1061&amp;"登録"</f>
        <v>バックアップ_DPC調査データ_様式1_診断情報_併存症登録</v>
      </c>
      <c r="D1058" s="103"/>
      <c r="E1058" s="103"/>
      <c r="F1058" s="103"/>
      <c r="G1058" s="103"/>
      <c r="H1058" s="103"/>
      <c r="I1058" s="103"/>
      <c r="J1058" s="103"/>
      <c r="K1058" s="103"/>
      <c r="L1058" s="103"/>
      <c r="M1058" s="103"/>
      <c r="N1058" s="103"/>
      <c r="O1058" s="103"/>
      <c r="P1058" s="103"/>
      <c r="Q1058" s="103"/>
      <c r="R1058" s="103"/>
      <c r="S1058" s="103"/>
      <c r="T1058" s="103"/>
      <c r="U1058" s="104"/>
      <c r="W1058" s="35" t="str">
        <f>"-- "&amp;C1058</f>
        <v>-- バックアップ_DPC調査データ_様式1_診断情報_併存症登録</v>
      </c>
    </row>
    <row r="1059" spans="2:23" ht="18.75" customHeight="1">
      <c r="B1059" s="43" t="s">
        <v>159</v>
      </c>
      <c r="C1059" s="105" t="str">
        <f>C1061&amp;"テーブルから組入れ条件の第一条件で絞り込んだ結果を"&amp;R1061&amp;"テーブルに格納する。"</f>
        <v>DPC調査データ_様式1_診断情報_併存症_結合テーブルから組入れ条件の第一条件で絞り込んだ結果をバックアップ_DPC調査データ_様式1_診断情報_併存症テーブルに格納する。</v>
      </c>
      <c r="D1059" s="106"/>
      <c r="E1059" s="106"/>
      <c r="F1059" s="106"/>
      <c r="G1059" s="106"/>
      <c r="H1059" s="106"/>
      <c r="I1059" s="106"/>
      <c r="J1059" s="106"/>
      <c r="K1059" s="106"/>
      <c r="L1059" s="106"/>
      <c r="M1059" s="106"/>
      <c r="N1059" s="106"/>
      <c r="O1059" s="106"/>
      <c r="P1059" s="106"/>
      <c r="Q1059" s="106"/>
      <c r="R1059" s="106"/>
      <c r="S1059" s="106"/>
      <c r="T1059" s="106"/>
      <c r="U1059" s="107"/>
      <c r="W1059" s="35" t="str">
        <f>"-- "&amp;C1059</f>
        <v>-- DPC調査データ_様式1_診断情報_併存症_結合テーブルから組入れ条件の第一条件で絞り込んだ結果をバックアップ_DPC調査データ_様式1_診断情報_併存症テーブルに格納する。</v>
      </c>
    </row>
    <row r="1061" spans="2:23" ht="18.75" customHeight="1">
      <c r="C1061" s="96" t="s">
        <v>172</v>
      </c>
      <c r="D1061" s="97"/>
      <c r="E1061" s="108" t="s">
        <v>162</v>
      </c>
      <c r="H1061" s="36"/>
      <c r="I1061" s="36"/>
      <c r="J1061" s="36"/>
      <c r="K1061" s="36"/>
      <c r="L1061" s="36"/>
      <c r="M1061" s="36"/>
      <c r="N1061" s="36"/>
      <c r="O1061" s="36"/>
      <c r="P1061" s="36"/>
      <c r="Q1061" s="36"/>
      <c r="R1061" s="96" t="str">
        <f>"バックアップ_"&amp;SUBSTITUTE(C1061,"_結合","")</f>
        <v>バックアップ_DPC調査データ_様式1_診断情報_併存症</v>
      </c>
      <c r="S1061" s="97"/>
      <c r="T1061" s="100" t="str">
        <f>エンティティ一覧!$O$2</f>
        <v>milscm_2023_010</v>
      </c>
    </row>
    <row r="1062" spans="2:23" ht="18.75" customHeight="1">
      <c r="C1062" s="98"/>
      <c r="D1062" s="99"/>
      <c r="E1062" s="109"/>
      <c r="F1062" s="37"/>
      <c r="G1062" s="38"/>
      <c r="H1062" s="37"/>
      <c r="I1062" s="37"/>
      <c r="J1062" s="37"/>
      <c r="K1062" s="37"/>
      <c r="L1062" s="37"/>
      <c r="M1062" s="37"/>
      <c r="N1062" s="37"/>
      <c r="O1062" s="37"/>
      <c r="P1062" s="37"/>
      <c r="Q1062" s="37"/>
      <c r="R1062" s="98"/>
      <c r="S1062" s="99"/>
      <c r="T1062" s="101"/>
    </row>
    <row r="1063" spans="2:23" ht="18.75" customHeight="1">
      <c r="F1063" s="39"/>
      <c r="G1063" s="40"/>
    </row>
    <row r="1064" spans="2:23" ht="18.75" customHeight="1">
      <c r="C1064" s="96" t="s">
        <v>3229</v>
      </c>
      <c r="D1064" s="97"/>
      <c r="E1064" s="100" t="str">
        <f>エンティティ一覧!$O$2</f>
        <v>milscm_2023_010</v>
      </c>
      <c r="G1064" s="41"/>
    </row>
    <row r="1065" spans="2:23" ht="18.75" customHeight="1">
      <c r="C1065" s="98"/>
      <c r="D1065" s="99"/>
      <c r="E1065" s="101"/>
      <c r="F1065" s="37"/>
    </row>
    <row r="1067" spans="2:23" ht="18.75" customHeight="1" thickBot="1">
      <c r="B1067" s="42"/>
      <c r="C1067" s="42"/>
      <c r="D1067" s="42"/>
      <c r="E1067" s="42"/>
      <c r="F1067" s="42"/>
      <c r="G1067" s="42"/>
      <c r="H1067" s="42"/>
      <c r="I1067" s="42"/>
      <c r="J1067" s="42"/>
      <c r="K1067" s="42"/>
      <c r="L1067" s="42"/>
      <c r="M1067" s="42"/>
      <c r="N1067" s="42"/>
      <c r="O1067" s="42"/>
      <c r="P1067" s="42"/>
      <c r="Q1067" s="42"/>
      <c r="R1067" s="42"/>
      <c r="S1067" s="42"/>
      <c r="T1067" s="42"/>
      <c r="U1067" s="42"/>
    </row>
    <row r="1069" spans="2:23" ht="18.75" customHeight="1">
      <c r="B1069" s="43" t="s">
        <v>163</v>
      </c>
      <c r="C1069" s="51" t="s">
        <v>3223</v>
      </c>
      <c r="D1069" s="50"/>
      <c r="W1069" s="35" t="str">
        <f>"-- "&amp;B1069&amp;" : "&amp;C1069</f>
        <v>-- SQL_ID : 01_C1-08</v>
      </c>
    </row>
    <row r="1070" spans="2:23" ht="18.75" customHeight="1">
      <c r="B1070" s="43" t="s">
        <v>158</v>
      </c>
      <c r="C1070" s="102" t="str">
        <f>R1073&amp;"登録"</f>
        <v>バックアップ_DPC調査データ_様式1_診断情報_続発症登録</v>
      </c>
      <c r="D1070" s="103"/>
      <c r="E1070" s="103"/>
      <c r="F1070" s="103"/>
      <c r="G1070" s="103"/>
      <c r="H1070" s="103"/>
      <c r="I1070" s="103"/>
      <c r="J1070" s="103"/>
      <c r="K1070" s="103"/>
      <c r="L1070" s="103"/>
      <c r="M1070" s="103"/>
      <c r="N1070" s="103"/>
      <c r="O1070" s="103"/>
      <c r="P1070" s="103"/>
      <c r="Q1070" s="103"/>
      <c r="R1070" s="103"/>
      <c r="S1070" s="103"/>
      <c r="T1070" s="103"/>
      <c r="U1070" s="104"/>
      <c r="W1070" s="35" t="str">
        <f>"-- "&amp;C1070</f>
        <v>-- バックアップ_DPC調査データ_様式1_診断情報_続発症登録</v>
      </c>
    </row>
    <row r="1071" spans="2:23" ht="18.75" customHeight="1">
      <c r="B1071" s="43" t="s">
        <v>159</v>
      </c>
      <c r="C1071" s="105" t="str">
        <f>C1073&amp;"テーブルから組入れ条件の第一条件で絞り込んだ結果を"&amp;R1073&amp;"テーブルに格納する。"</f>
        <v>DPC調査データ_様式1_診断情報_続発症_結合テーブルから組入れ条件の第一条件で絞り込んだ結果をバックアップ_DPC調査データ_様式1_診断情報_続発症テーブルに格納する。</v>
      </c>
      <c r="D1071" s="106"/>
      <c r="E1071" s="106"/>
      <c r="F1071" s="106"/>
      <c r="G1071" s="106"/>
      <c r="H1071" s="106"/>
      <c r="I1071" s="106"/>
      <c r="J1071" s="106"/>
      <c r="K1071" s="106"/>
      <c r="L1071" s="106"/>
      <c r="M1071" s="106"/>
      <c r="N1071" s="106"/>
      <c r="O1071" s="106"/>
      <c r="P1071" s="106"/>
      <c r="Q1071" s="106"/>
      <c r="R1071" s="106"/>
      <c r="S1071" s="106"/>
      <c r="T1071" s="106"/>
      <c r="U1071" s="107"/>
      <c r="W1071" s="35" t="str">
        <f>"-- "&amp;C1071</f>
        <v>-- DPC調査データ_様式1_診断情報_続発症_結合テーブルから組入れ条件の第一条件で絞り込んだ結果をバックアップ_DPC調査データ_様式1_診断情報_続発症テーブルに格納する。</v>
      </c>
    </row>
    <row r="1073" spans="2:23" ht="18.75" customHeight="1">
      <c r="C1073" s="96" t="s">
        <v>173</v>
      </c>
      <c r="D1073" s="97"/>
      <c r="E1073" s="108" t="s">
        <v>162</v>
      </c>
      <c r="H1073" s="36"/>
      <c r="I1073" s="36"/>
      <c r="J1073" s="36"/>
      <c r="K1073" s="36"/>
      <c r="L1073" s="36"/>
      <c r="M1073" s="36"/>
      <c r="N1073" s="36"/>
      <c r="O1073" s="36"/>
      <c r="P1073" s="36"/>
      <c r="Q1073" s="36"/>
      <c r="R1073" s="96" t="str">
        <f>"バックアップ_"&amp;SUBSTITUTE(C1073,"_結合","")</f>
        <v>バックアップ_DPC調査データ_様式1_診断情報_続発症</v>
      </c>
      <c r="S1073" s="97"/>
      <c r="T1073" s="100" t="str">
        <f>エンティティ一覧!$O$2</f>
        <v>milscm_2023_010</v>
      </c>
    </row>
    <row r="1074" spans="2:23" ht="18.75" customHeight="1">
      <c r="C1074" s="98"/>
      <c r="D1074" s="99"/>
      <c r="E1074" s="109"/>
      <c r="F1074" s="37"/>
      <c r="G1074" s="38"/>
      <c r="H1074" s="37"/>
      <c r="I1074" s="37"/>
      <c r="J1074" s="37"/>
      <c r="K1074" s="37"/>
      <c r="L1074" s="37"/>
      <c r="M1074" s="37"/>
      <c r="N1074" s="37"/>
      <c r="O1074" s="37"/>
      <c r="P1074" s="37"/>
      <c r="Q1074" s="37"/>
      <c r="R1074" s="98"/>
      <c r="S1074" s="99"/>
      <c r="T1074" s="101"/>
    </row>
    <row r="1075" spans="2:23" ht="18.75" customHeight="1">
      <c r="F1075" s="39"/>
      <c r="G1075" s="40"/>
    </row>
    <row r="1076" spans="2:23" ht="18.75" customHeight="1">
      <c r="C1076" s="96" t="s">
        <v>3229</v>
      </c>
      <c r="D1076" s="97"/>
      <c r="E1076" s="100" t="str">
        <f>エンティティ一覧!$O$2</f>
        <v>milscm_2023_010</v>
      </c>
      <c r="G1076" s="41"/>
    </row>
    <row r="1077" spans="2:23" ht="18.75" customHeight="1">
      <c r="C1077" s="98"/>
      <c r="D1077" s="99"/>
      <c r="E1077" s="101"/>
      <c r="F1077" s="37"/>
    </row>
    <row r="1079" spans="2:23" ht="18.75" customHeight="1" thickBot="1">
      <c r="B1079" s="42"/>
      <c r="C1079" s="42"/>
      <c r="D1079" s="42"/>
      <c r="E1079" s="42"/>
      <c r="F1079" s="42"/>
      <c r="G1079" s="42"/>
      <c r="H1079" s="42"/>
      <c r="I1079" s="42"/>
      <c r="J1079" s="42"/>
      <c r="K1079" s="42"/>
      <c r="L1079" s="42"/>
      <c r="M1079" s="42"/>
      <c r="N1079" s="42"/>
      <c r="O1079" s="42"/>
      <c r="P1079" s="42"/>
      <c r="Q1079" s="42"/>
      <c r="R1079" s="42"/>
      <c r="S1079" s="42"/>
      <c r="T1079" s="42"/>
      <c r="U1079" s="42"/>
    </row>
    <row r="1081" spans="2:23" ht="18.75" customHeight="1">
      <c r="B1081" s="43" t="s">
        <v>163</v>
      </c>
      <c r="C1081" s="51" t="s">
        <v>3449</v>
      </c>
      <c r="D1081" s="90"/>
      <c r="W1081" s="35" t="str">
        <f>"-- "&amp;B1081&amp;" : "&amp;C1081</f>
        <v>-- SQL_ID : 01_C2-01</v>
      </c>
    </row>
    <row r="1082" spans="2:23" ht="18.75" customHeight="1">
      <c r="B1082" s="43" t="s">
        <v>158</v>
      </c>
      <c r="C1082" s="102" t="str">
        <f>R1085&amp;"登録"</f>
        <v>バックアップ_医科レセプト_医療機関情報レコード登録</v>
      </c>
      <c r="D1082" s="103"/>
      <c r="E1082" s="103"/>
      <c r="F1082" s="103"/>
      <c r="G1082" s="103"/>
      <c r="H1082" s="103"/>
      <c r="I1082" s="103"/>
      <c r="J1082" s="103"/>
      <c r="K1082" s="103"/>
      <c r="L1082" s="103"/>
      <c r="M1082" s="103"/>
      <c r="N1082" s="103"/>
      <c r="O1082" s="103"/>
      <c r="P1082" s="103"/>
      <c r="Q1082" s="103"/>
      <c r="R1082" s="103"/>
      <c r="S1082" s="103"/>
      <c r="T1082" s="103"/>
      <c r="U1082" s="104"/>
      <c r="W1082" s="35" t="str">
        <f>"-- "&amp;C1082</f>
        <v>-- バックアップ_医科レセプト_医療機関情報レコード登録</v>
      </c>
    </row>
    <row r="1083" spans="2:23" ht="18.75" customHeight="1">
      <c r="B1083" s="43" t="s">
        <v>159</v>
      </c>
      <c r="C1083" s="105" t="str">
        <f>C1085&amp;"テーブルから組入れ条件の第一条件で絞り込んだ結果を"&amp;R1085&amp;"テーブルに格納する。"</f>
        <v>医科レセプト_医療機関情報レコード_結合テーブルから組入れ条件の第一条件で絞り込んだ結果をバックアップ_医科レセプト_医療機関情報レコードテーブルに格納する。</v>
      </c>
      <c r="D1083" s="106"/>
      <c r="E1083" s="106"/>
      <c r="F1083" s="106"/>
      <c r="G1083" s="106"/>
      <c r="H1083" s="106"/>
      <c r="I1083" s="106"/>
      <c r="J1083" s="106"/>
      <c r="K1083" s="106"/>
      <c r="L1083" s="106"/>
      <c r="M1083" s="106"/>
      <c r="N1083" s="106"/>
      <c r="O1083" s="106"/>
      <c r="P1083" s="106"/>
      <c r="Q1083" s="106"/>
      <c r="R1083" s="106"/>
      <c r="S1083" s="106"/>
      <c r="T1083" s="106"/>
      <c r="U1083" s="107"/>
      <c r="W1083" s="35" t="str">
        <f>"-- "&amp;C1083</f>
        <v>-- 医科レセプト_医療機関情報レコード_結合テーブルから組入れ条件の第一条件で絞り込んだ結果をバックアップ_医科レセプト_医療機関情報レコードテーブルに格納する。</v>
      </c>
    </row>
    <row r="1085" spans="2:23" ht="18.75" customHeight="1">
      <c r="C1085" s="96" t="s">
        <v>3450</v>
      </c>
      <c r="D1085" s="97"/>
      <c r="E1085" s="108" t="s">
        <v>162</v>
      </c>
      <c r="H1085" s="36"/>
      <c r="I1085" s="36"/>
      <c r="J1085" s="36"/>
      <c r="K1085" s="36"/>
      <c r="L1085" s="36"/>
      <c r="M1085" s="36"/>
      <c r="N1085" s="36"/>
      <c r="O1085" s="36"/>
      <c r="P1085" s="36"/>
      <c r="Q1085" s="36"/>
      <c r="R1085" s="96" t="str">
        <f>"バックアップ_"&amp;SUBSTITUTE(C1085,"_結合","")</f>
        <v>バックアップ_医科レセプト_医療機関情報レコード</v>
      </c>
      <c r="S1085" s="97"/>
      <c r="T1085" s="100" t="str">
        <f>エンティティ一覧!$O$2</f>
        <v>milscm_2023_010</v>
      </c>
    </row>
    <row r="1086" spans="2:23" ht="18.75" customHeight="1">
      <c r="C1086" s="98"/>
      <c r="D1086" s="99"/>
      <c r="E1086" s="109"/>
      <c r="F1086" s="37"/>
      <c r="G1086" s="38"/>
      <c r="H1086" s="37"/>
      <c r="I1086" s="37"/>
      <c r="J1086" s="37"/>
      <c r="K1086" s="37"/>
      <c r="L1086" s="37"/>
      <c r="M1086" s="37"/>
      <c r="N1086" s="37"/>
      <c r="O1086" s="37"/>
      <c r="P1086" s="37"/>
      <c r="Q1086" s="37"/>
      <c r="R1086" s="98"/>
      <c r="S1086" s="99"/>
      <c r="T1086" s="101"/>
    </row>
    <row r="1087" spans="2:23" ht="18.75" customHeight="1">
      <c r="F1087" s="39"/>
      <c r="G1087" s="40"/>
    </row>
    <row r="1088" spans="2:23" ht="18.75" customHeight="1">
      <c r="C1088" s="96" t="s">
        <v>3229</v>
      </c>
      <c r="D1088" s="97"/>
      <c r="E1088" s="100" t="str">
        <f>エンティティ一覧!$O$2</f>
        <v>milscm_2023_010</v>
      </c>
      <c r="G1088" s="41"/>
    </row>
    <row r="1089" spans="2:23" ht="18.75" customHeight="1">
      <c r="C1089" s="98"/>
      <c r="D1089" s="99"/>
      <c r="E1089" s="101"/>
      <c r="F1089" s="37"/>
    </row>
    <row r="1091" spans="2:23" ht="18.75" customHeight="1" thickBot="1">
      <c r="B1091" s="42"/>
      <c r="C1091" s="42"/>
      <c r="D1091" s="42"/>
      <c r="E1091" s="42"/>
      <c r="F1091" s="42"/>
      <c r="G1091" s="42"/>
      <c r="H1091" s="42"/>
      <c r="I1091" s="42"/>
      <c r="J1091" s="42"/>
      <c r="K1091" s="42"/>
      <c r="L1091" s="42"/>
      <c r="M1091" s="42"/>
      <c r="N1091" s="42"/>
      <c r="O1091" s="42"/>
      <c r="P1091" s="42"/>
      <c r="Q1091" s="42"/>
      <c r="R1091" s="42"/>
      <c r="S1091" s="42"/>
      <c r="T1091" s="42"/>
      <c r="U1091" s="42"/>
    </row>
    <row r="1093" spans="2:23" ht="18.75" customHeight="1">
      <c r="B1093" s="43" t="s">
        <v>163</v>
      </c>
      <c r="C1093" s="51" t="s">
        <v>3451</v>
      </c>
      <c r="D1093" s="90"/>
      <c r="W1093" s="35" t="str">
        <f>"-- "&amp;B1093&amp;" : "&amp;C1093</f>
        <v>-- SQL_ID : 01_C2-02</v>
      </c>
    </row>
    <row r="1094" spans="2:23" ht="18.75" customHeight="1">
      <c r="B1094" s="43" t="s">
        <v>158</v>
      </c>
      <c r="C1094" s="102" t="str">
        <f>R1097&amp;"登録"</f>
        <v>バックアップ_医科レセプト_レセプト共通レコード登録</v>
      </c>
      <c r="D1094" s="103"/>
      <c r="E1094" s="103"/>
      <c r="F1094" s="103"/>
      <c r="G1094" s="103"/>
      <c r="H1094" s="103"/>
      <c r="I1094" s="103"/>
      <c r="J1094" s="103"/>
      <c r="K1094" s="103"/>
      <c r="L1094" s="103"/>
      <c r="M1094" s="103"/>
      <c r="N1094" s="103"/>
      <c r="O1094" s="103"/>
      <c r="P1094" s="103"/>
      <c r="Q1094" s="103"/>
      <c r="R1094" s="103"/>
      <c r="S1094" s="103"/>
      <c r="T1094" s="103"/>
      <c r="U1094" s="104"/>
      <c r="W1094" s="35" t="str">
        <f>"-- "&amp;C1094</f>
        <v>-- バックアップ_医科レセプト_レセプト共通レコード登録</v>
      </c>
    </row>
    <row r="1095" spans="2:23" ht="18.75" customHeight="1">
      <c r="B1095" s="43" t="s">
        <v>159</v>
      </c>
      <c r="C1095" s="105" t="str">
        <f>C1097&amp;"テーブルから組入れ条件の第一条件で絞り込んだ結果を"&amp;R1097&amp;"テーブルに格納する。"</f>
        <v>医科レセプト_レセプト共通レコード_結合テーブルから組入れ条件の第一条件で絞り込んだ結果をバックアップ_医科レセプト_レセプト共通レコードテーブルに格納する。</v>
      </c>
      <c r="D1095" s="106"/>
      <c r="E1095" s="106"/>
      <c r="F1095" s="106"/>
      <c r="G1095" s="106"/>
      <c r="H1095" s="106"/>
      <c r="I1095" s="106"/>
      <c r="J1095" s="106"/>
      <c r="K1095" s="106"/>
      <c r="L1095" s="106"/>
      <c r="M1095" s="106"/>
      <c r="N1095" s="106"/>
      <c r="O1095" s="106"/>
      <c r="P1095" s="106"/>
      <c r="Q1095" s="106"/>
      <c r="R1095" s="106"/>
      <c r="S1095" s="106"/>
      <c r="T1095" s="106"/>
      <c r="U1095" s="107"/>
      <c r="W1095" s="35" t="str">
        <f>"-- "&amp;C1095</f>
        <v>-- 医科レセプト_レセプト共通レコード_結合テーブルから組入れ条件の第一条件で絞り込んだ結果をバックアップ_医科レセプト_レセプト共通レコードテーブルに格納する。</v>
      </c>
    </row>
    <row r="1097" spans="2:23" ht="18.75" customHeight="1">
      <c r="C1097" s="96" t="s">
        <v>3452</v>
      </c>
      <c r="D1097" s="97"/>
      <c r="E1097" s="108" t="s">
        <v>162</v>
      </c>
      <c r="H1097" s="36"/>
      <c r="I1097" s="36"/>
      <c r="J1097" s="36"/>
      <c r="K1097" s="36"/>
      <c r="L1097" s="36"/>
      <c r="M1097" s="36"/>
      <c r="N1097" s="36"/>
      <c r="O1097" s="36"/>
      <c r="P1097" s="36"/>
      <c r="Q1097" s="36"/>
      <c r="R1097" s="96" t="str">
        <f>"バックアップ_"&amp;SUBSTITUTE(C1097,"_結合","")</f>
        <v>バックアップ_医科レセプト_レセプト共通レコード</v>
      </c>
      <c r="S1097" s="97"/>
      <c r="T1097" s="100" t="str">
        <f>エンティティ一覧!$O$2</f>
        <v>milscm_2023_010</v>
      </c>
    </row>
    <row r="1098" spans="2:23" ht="18.75" customHeight="1">
      <c r="C1098" s="98"/>
      <c r="D1098" s="99"/>
      <c r="E1098" s="109"/>
      <c r="F1098" s="37"/>
      <c r="G1098" s="38"/>
      <c r="H1098" s="37"/>
      <c r="I1098" s="37"/>
      <c r="J1098" s="37"/>
      <c r="K1098" s="37"/>
      <c r="L1098" s="37"/>
      <c r="M1098" s="37"/>
      <c r="N1098" s="37"/>
      <c r="O1098" s="37"/>
      <c r="P1098" s="37"/>
      <c r="Q1098" s="37"/>
      <c r="R1098" s="98"/>
      <c r="S1098" s="99"/>
      <c r="T1098" s="101"/>
    </row>
    <row r="1099" spans="2:23" ht="18.75" customHeight="1">
      <c r="F1099" s="39"/>
      <c r="G1099" s="40"/>
    </row>
    <row r="1100" spans="2:23" ht="18.75" customHeight="1">
      <c r="C1100" s="96" t="s">
        <v>3229</v>
      </c>
      <c r="D1100" s="97"/>
      <c r="E1100" s="100" t="str">
        <f>エンティティ一覧!$O$2</f>
        <v>milscm_2023_010</v>
      </c>
      <c r="G1100" s="41"/>
    </row>
    <row r="1101" spans="2:23" ht="18.75" customHeight="1">
      <c r="C1101" s="98"/>
      <c r="D1101" s="99"/>
      <c r="E1101" s="101"/>
      <c r="F1101" s="37"/>
    </row>
    <row r="1103" spans="2:23" ht="18.75" customHeight="1" thickBot="1">
      <c r="B1103" s="42"/>
      <c r="C1103" s="42"/>
      <c r="D1103" s="42"/>
      <c r="E1103" s="42"/>
      <c r="F1103" s="42"/>
      <c r="G1103" s="42"/>
      <c r="H1103" s="42"/>
      <c r="I1103" s="42"/>
      <c r="J1103" s="42"/>
      <c r="K1103" s="42"/>
      <c r="L1103" s="42"/>
      <c r="M1103" s="42"/>
      <c r="N1103" s="42"/>
      <c r="O1103" s="42"/>
      <c r="P1103" s="42"/>
      <c r="Q1103" s="42"/>
      <c r="R1103" s="42"/>
      <c r="S1103" s="42"/>
      <c r="T1103" s="42"/>
      <c r="U1103" s="42"/>
    </row>
    <row r="1105" spans="2:23" ht="18.75" customHeight="1">
      <c r="B1105" s="43" t="s">
        <v>163</v>
      </c>
      <c r="C1105" s="51" t="s">
        <v>3453</v>
      </c>
      <c r="D1105" s="90"/>
      <c r="W1105" s="35" t="str">
        <f>"-- "&amp;B1105&amp;" : "&amp;C1105</f>
        <v>-- SQL_ID : 01_C2-06</v>
      </c>
    </row>
    <row r="1106" spans="2:23" ht="18.75" customHeight="1">
      <c r="B1106" s="43" t="s">
        <v>158</v>
      </c>
      <c r="C1106" s="102" t="str">
        <f>R1109&amp;"登録"</f>
        <v>バックアップ_医科レセプト_傷病名レコード登録</v>
      </c>
      <c r="D1106" s="103"/>
      <c r="E1106" s="103"/>
      <c r="F1106" s="103"/>
      <c r="G1106" s="103"/>
      <c r="H1106" s="103"/>
      <c r="I1106" s="103"/>
      <c r="J1106" s="103"/>
      <c r="K1106" s="103"/>
      <c r="L1106" s="103"/>
      <c r="M1106" s="103"/>
      <c r="N1106" s="103"/>
      <c r="O1106" s="103"/>
      <c r="P1106" s="103"/>
      <c r="Q1106" s="103"/>
      <c r="R1106" s="103"/>
      <c r="S1106" s="103"/>
      <c r="T1106" s="103"/>
      <c r="U1106" s="104"/>
      <c r="W1106" s="35" t="str">
        <f>"-- "&amp;C1106</f>
        <v>-- バックアップ_医科レセプト_傷病名レコード登録</v>
      </c>
    </row>
    <row r="1107" spans="2:23" ht="18.75" customHeight="1">
      <c r="B1107" s="43" t="s">
        <v>159</v>
      </c>
      <c r="C1107" s="105" t="str">
        <f>C1109&amp;"テーブルから組入れ条件の第一条件で絞り込んだ結果を"&amp;R1109&amp;"テーブルに格納する。"</f>
        <v>医科レセプト_傷病名レコード_結合テーブルから組入れ条件の第一条件で絞り込んだ結果をバックアップ_医科レセプト_傷病名レコードテーブルに格納する。</v>
      </c>
      <c r="D1107" s="106"/>
      <c r="E1107" s="106"/>
      <c r="F1107" s="106"/>
      <c r="G1107" s="106"/>
      <c r="H1107" s="106"/>
      <c r="I1107" s="106"/>
      <c r="J1107" s="106"/>
      <c r="K1107" s="106"/>
      <c r="L1107" s="106"/>
      <c r="M1107" s="106"/>
      <c r="N1107" s="106"/>
      <c r="O1107" s="106"/>
      <c r="P1107" s="106"/>
      <c r="Q1107" s="106"/>
      <c r="R1107" s="106"/>
      <c r="S1107" s="106"/>
      <c r="T1107" s="106"/>
      <c r="U1107" s="107"/>
      <c r="W1107" s="35" t="str">
        <f>"-- "&amp;C1107</f>
        <v>-- 医科レセプト_傷病名レコード_結合テーブルから組入れ条件の第一条件で絞り込んだ結果をバックアップ_医科レセプト_傷病名レコードテーブルに格納する。</v>
      </c>
    </row>
    <row r="1109" spans="2:23" ht="18.75" customHeight="1">
      <c r="C1109" s="96" t="s">
        <v>3454</v>
      </c>
      <c r="D1109" s="97"/>
      <c r="E1109" s="108" t="s">
        <v>162</v>
      </c>
      <c r="H1109" s="36"/>
      <c r="I1109" s="36"/>
      <c r="J1109" s="36"/>
      <c r="K1109" s="36"/>
      <c r="L1109" s="36"/>
      <c r="M1109" s="36"/>
      <c r="N1109" s="36"/>
      <c r="O1109" s="36"/>
      <c r="P1109" s="36"/>
      <c r="Q1109" s="36"/>
      <c r="R1109" s="96" t="str">
        <f>"バックアップ_"&amp;SUBSTITUTE(C1109,"_結合","")</f>
        <v>バックアップ_医科レセプト_傷病名レコード</v>
      </c>
      <c r="S1109" s="97"/>
      <c r="T1109" s="100" t="str">
        <f>エンティティ一覧!$O$2</f>
        <v>milscm_2023_010</v>
      </c>
    </row>
    <row r="1110" spans="2:23" ht="18.75" customHeight="1">
      <c r="C1110" s="98"/>
      <c r="D1110" s="99"/>
      <c r="E1110" s="109"/>
      <c r="F1110" s="37"/>
      <c r="G1110" s="38"/>
      <c r="H1110" s="37"/>
      <c r="I1110" s="37"/>
      <c r="J1110" s="37"/>
      <c r="K1110" s="37"/>
      <c r="L1110" s="37"/>
      <c r="M1110" s="37"/>
      <c r="N1110" s="37"/>
      <c r="O1110" s="37"/>
      <c r="P1110" s="37"/>
      <c r="Q1110" s="37"/>
      <c r="R1110" s="98"/>
      <c r="S1110" s="99"/>
      <c r="T1110" s="101"/>
    </row>
    <row r="1111" spans="2:23" ht="18.75" customHeight="1">
      <c r="F1111" s="39"/>
      <c r="G1111" s="40"/>
    </row>
    <row r="1112" spans="2:23" ht="18.75" customHeight="1">
      <c r="C1112" s="96" t="s">
        <v>3229</v>
      </c>
      <c r="D1112" s="97"/>
      <c r="E1112" s="100" t="str">
        <f>エンティティ一覧!$O$2</f>
        <v>milscm_2023_010</v>
      </c>
      <c r="G1112" s="41"/>
    </row>
    <row r="1113" spans="2:23" ht="18.75" customHeight="1">
      <c r="C1113" s="98"/>
      <c r="D1113" s="99"/>
      <c r="E1113" s="101"/>
      <c r="F1113" s="37"/>
    </row>
    <row r="1115" spans="2:23" ht="18.75" customHeight="1" thickBot="1">
      <c r="B1115" s="42"/>
      <c r="C1115" s="42"/>
      <c r="D1115" s="42"/>
      <c r="E1115" s="42"/>
      <c r="F1115" s="42"/>
      <c r="G1115" s="42"/>
      <c r="H1115" s="42"/>
      <c r="I1115" s="42"/>
      <c r="J1115" s="42"/>
      <c r="K1115" s="42"/>
      <c r="L1115" s="42"/>
      <c r="M1115" s="42"/>
      <c r="N1115" s="42"/>
      <c r="O1115" s="42"/>
      <c r="P1115" s="42"/>
      <c r="Q1115" s="42"/>
      <c r="R1115" s="42"/>
      <c r="S1115" s="42"/>
      <c r="T1115" s="42"/>
      <c r="U1115" s="42"/>
    </row>
    <row r="1117" spans="2:23" ht="18.75" customHeight="1">
      <c r="B1117" s="43" t="s">
        <v>163</v>
      </c>
      <c r="C1117" s="51" t="s">
        <v>3455</v>
      </c>
      <c r="D1117" s="90"/>
      <c r="W1117" s="35" t="str">
        <f>"-- "&amp;B1117&amp;" : "&amp;C1117</f>
        <v>-- SQL_ID : 01_C2-07</v>
      </c>
    </row>
    <row r="1118" spans="2:23" ht="18.75" customHeight="1">
      <c r="B1118" s="43" t="s">
        <v>158</v>
      </c>
      <c r="C1118" s="102" t="str">
        <f>R1121&amp;"登録"</f>
        <v>バックアップ_医科レセプト_診療行為レコード登録</v>
      </c>
      <c r="D1118" s="103"/>
      <c r="E1118" s="103"/>
      <c r="F1118" s="103"/>
      <c r="G1118" s="103"/>
      <c r="H1118" s="103"/>
      <c r="I1118" s="103"/>
      <c r="J1118" s="103"/>
      <c r="K1118" s="103"/>
      <c r="L1118" s="103"/>
      <c r="M1118" s="103"/>
      <c r="N1118" s="103"/>
      <c r="O1118" s="103"/>
      <c r="P1118" s="103"/>
      <c r="Q1118" s="103"/>
      <c r="R1118" s="103"/>
      <c r="S1118" s="103"/>
      <c r="T1118" s="103"/>
      <c r="U1118" s="104"/>
      <c r="W1118" s="35" t="str">
        <f>"-- "&amp;C1118</f>
        <v>-- バックアップ_医科レセプト_診療行為レコード登録</v>
      </c>
    </row>
    <row r="1119" spans="2:23" ht="18.75" customHeight="1">
      <c r="B1119" s="43" t="s">
        <v>159</v>
      </c>
      <c r="C1119" s="105" t="str">
        <f>C1121&amp;"テーブルから組入れ条件の第一条件で絞り込んだ結果を"&amp;R1121&amp;"テーブルに格納する。"</f>
        <v>医科レセプト_診療行為レコード_結合テーブルから組入れ条件の第一条件で絞り込んだ結果をバックアップ_医科レセプト_診療行為レコードテーブルに格納する。</v>
      </c>
      <c r="D1119" s="106"/>
      <c r="E1119" s="106"/>
      <c r="F1119" s="106"/>
      <c r="G1119" s="106"/>
      <c r="H1119" s="106"/>
      <c r="I1119" s="106"/>
      <c r="J1119" s="106"/>
      <c r="K1119" s="106"/>
      <c r="L1119" s="106"/>
      <c r="M1119" s="106"/>
      <c r="N1119" s="106"/>
      <c r="O1119" s="106"/>
      <c r="P1119" s="106"/>
      <c r="Q1119" s="106"/>
      <c r="R1119" s="106"/>
      <c r="S1119" s="106"/>
      <c r="T1119" s="106"/>
      <c r="U1119" s="107"/>
      <c r="W1119" s="35" t="str">
        <f>"-- "&amp;C1119</f>
        <v>-- 医科レセプト_診療行為レコード_結合テーブルから組入れ条件の第一条件で絞り込んだ結果をバックアップ_医科レセプト_診療行為レコードテーブルに格納する。</v>
      </c>
    </row>
    <row r="1121" spans="2:23" ht="18.75" customHeight="1">
      <c r="C1121" s="96" t="s">
        <v>3456</v>
      </c>
      <c r="D1121" s="97"/>
      <c r="E1121" s="108" t="s">
        <v>162</v>
      </c>
      <c r="H1121" s="36"/>
      <c r="I1121" s="36"/>
      <c r="J1121" s="36"/>
      <c r="K1121" s="36"/>
      <c r="L1121" s="36"/>
      <c r="M1121" s="36"/>
      <c r="N1121" s="36"/>
      <c r="O1121" s="36"/>
      <c r="P1121" s="36"/>
      <c r="Q1121" s="36"/>
      <c r="R1121" s="96" t="str">
        <f>"バックアップ_"&amp;SUBSTITUTE(C1121,"_結合","")</f>
        <v>バックアップ_医科レセプト_診療行為レコード</v>
      </c>
      <c r="S1121" s="97"/>
      <c r="T1121" s="100" t="str">
        <f>エンティティ一覧!$O$2</f>
        <v>milscm_2023_010</v>
      </c>
    </row>
    <row r="1122" spans="2:23" ht="18.75" customHeight="1">
      <c r="C1122" s="98"/>
      <c r="D1122" s="99"/>
      <c r="E1122" s="109"/>
      <c r="F1122" s="37"/>
      <c r="G1122" s="38"/>
      <c r="H1122" s="37"/>
      <c r="I1122" s="37"/>
      <c r="J1122" s="37"/>
      <c r="K1122" s="37"/>
      <c r="L1122" s="37"/>
      <c r="M1122" s="37"/>
      <c r="N1122" s="37"/>
      <c r="O1122" s="37"/>
      <c r="P1122" s="37"/>
      <c r="Q1122" s="37"/>
      <c r="R1122" s="98"/>
      <c r="S1122" s="99"/>
      <c r="T1122" s="101"/>
    </row>
    <row r="1123" spans="2:23" ht="18.75" customHeight="1">
      <c r="F1123" s="39"/>
      <c r="G1123" s="40"/>
    </row>
    <row r="1124" spans="2:23" ht="18.75" customHeight="1">
      <c r="C1124" s="96" t="s">
        <v>3229</v>
      </c>
      <c r="D1124" s="97"/>
      <c r="E1124" s="100" t="str">
        <f>エンティティ一覧!$O$2</f>
        <v>milscm_2023_010</v>
      </c>
      <c r="G1124" s="41"/>
    </row>
    <row r="1125" spans="2:23" ht="18.75" customHeight="1">
      <c r="C1125" s="98"/>
      <c r="D1125" s="99"/>
      <c r="E1125" s="101"/>
      <c r="F1125" s="37"/>
    </row>
    <row r="1127" spans="2:23" ht="18.75" customHeight="1" thickBot="1">
      <c r="B1127" s="42"/>
      <c r="C1127" s="42"/>
      <c r="D1127" s="42"/>
      <c r="E1127" s="42"/>
      <c r="F1127" s="42"/>
      <c r="G1127" s="42"/>
      <c r="H1127" s="42"/>
      <c r="I1127" s="42"/>
      <c r="J1127" s="42"/>
      <c r="K1127" s="42"/>
      <c r="L1127" s="42"/>
      <c r="M1127" s="42"/>
      <c r="N1127" s="42"/>
      <c r="O1127" s="42"/>
      <c r="P1127" s="42"/>
      <c r="Q1127" s="42"/>
      <c r="R1127" s="42"/>
      <c r="S1127" s="42"/>
      <c r="T1127" s="42"/>
      <c r="U1127" s="42"/>
    </row>
    <row r="1129" spans="2:23" ht="18.75" customHeight="1">
      <c r="B1129" s="43" t="s">
        <v>163</v>
      </c>
      <c r="C1129" s="51" t="s">
        <v>3457</v>
      </c>
      <c r="D1129" s="90"/>
      <c r="W1129" s="35" t="str">
        <f>"-- "&amp;B1129&amp;" : "&amp;C1129</f>
        <v>-- SQL_ID : 01_C2-08</v>
      </c>
    </row>
    <row r="1130" spans="2:23" ht="18.75" customHeight="1">
      <c r="B1130" s="43" t="s">
        <v>158</v>
      </c>
      <c r="C1130" s="102" t="str">
        <f>R1133&amp;"登録"</f>
        <v>バックアップ_医科レセプト_診療行為レコード_算定日情報登録</v>
      </c>
      <c r="D1130" s="103"/>
      <c r="E1130" s="103"/>
      <c r="F1130" s="103"/>
      <c r="G1130" s="103"/>
      <c r="H1130" s="103"/>
      <c r="I1130" s="103"/>
      <c r="J1130" s="103"/>
      <c r="K1130" s="103"/>
      <c r="L1130" s="103"/>
      <c r="M1130" s="103"/>
      <c r="N1130" s="103"/>
      <c r="O1130" s="103"/>
      <c r="P1130" s="103"/>
      <c r="Q1130" s="103"/>
      <c r="R1130" s="103"/>
      <c r="S1130" s="103"/>
      <c r="T1130" s="103"/>
      <c r="U1130" s="104"/>
      <c r="W1130" s="35" t="str">
        <f>"-- "&amp;C1130</f>
        <v>-- バックアップ_医科レセプト_診療行為レコード_算定日情報登録</v>
      </c>
    </row>
    <row r="1131" spans="2:23" ht="18.75" customHeight="1">
      <c r="B1131" s="43" t="s">
        <v>159</v>
      </c>
      <c r="C1131" s="105" t="str">
        <f>C1133&amp;"テーブルから組入れ条件の第一条件で絞り込んだ結果を"&amp;R1133&amp;"テーブルに格納する。"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31" s="106"/>
      <c r="E1131" s="106"/>
      <c r="F1131" s="106"/>
      <c r="G1131" s="106"/>
      <c r="H1131" s="106"/>
      <c r="I1131" s="106"/>
      <c r="J1131" s="106"/>
      <c r="K1131" s="106"/>
      <c r="L1131" s="106"/>
      <c r="M1131" s="106"/>
      <c r="N1131" s="106"/>
      <c r="O1131" s="106"/>
      <c r="P1131" s="106"/>
      <c r="Q1131" s="106"/>
      <c r="R1131" s="106"/>
      <c r="S1131" s="106"/>
      <c r="T1131" s="106"/>
      <c r="U1131" s="107"/>
      <c r="W1131" s="35" t="str">
        <f>"-- "&amp;C1131</f>
        <v>-- 医科レセプト_診療行為レコード_算定日情報_結合テーブルから組入れ条件の第一条件で絞り込んだ結果をバックアップ_医科レセプト_診療行為レコード_算定日情報テーブルに格納する。</v>
      </c>
    </row>
    <row r="1133" spans="2:23" ht="18.75" customHeight="1">
      <c r="C1133" s="96" t="s">
        <v>3458</v>
      </c>
      <c r="D1133" s="97"/>
      <c r="E1133" s="108" t="s">
        <v>162</v>
      </c>
      <c r="H1133" s="36"/>
      <c r="I1133" s="36"/>
      <c r="J1133" s="36"/>
      <c r="K1133" s="36"/>
      <c r="L1133" s="36"/>
      <c r="M1133" s="36"/>
      <c r="N1133" s="36"/>
      <c r="O1133" s="36"/>
      <c r="P1133" s="36"/>
      <c r="Q1133" s="36"/>
      <c r="R1133" s="114" t="str">
        <f>"バックアップ_"&amp;SUBSTITUTE(C1133,"_結合","")</f>
        <v>バックアップ_医科レセプト_診療行為レコード_算定日情報</v>
      </c>
      <c r="S1133" s="115"/>
      <c r="T1133" s="100" t="str">
        <f>エンティティ一覧!$O$2</f>
        <v>milscm_2023_010</v>
      </c>
    </row>
    <row r="1134" spans="2:23" ht="18.75" customHeight="1">
      <c r="C1134" s="98"/>
      <c r="D1134" s="99"/>
      <c r="E1134" s="109"/>
      <c r="F1134" s="37"/>
      <c r="G1134" s="38"/>
      <c r="H1134" s="37"/>
      <c r="I1134" s="37"/>
      <c r="J1134" s="37"/>
      <c r="K1134" s="37"/>
      <c r="L1134" s="37"/>
      <c r="M1134" s="37"/>
      <c r="N1134" s="37"/>
      <c r="O1134" s="37"/>
      <c r="P1134" s="37"/>
      <c r="Q1134" s="37"/>
      <c r="R1134" s="116"/>
      <c r="S1134" s="117"/>
      <c r="T1134" s="101"/>
    </row>
    <row r="1135" spans="2:23" ht="18.75" customHeight="1">
      <c r="F1135" s="39"/>
      <c r="G1135" s="40"/>
    </row>
    <row r="1136" spans="2:23" ht="18.75" customHeight="1">
      <c r="C1136" s="96" t="s">
        <v>3229</v>
      </c>
      <c r="D1136" s="97"/>
      <c r="E1136" s="100" t="str">
        <f>エンティティ一覧!$O$2</f>
        <v>milscm_2023_010</v>
      </c>
      <c r="G1136" s="41"/>
    </row>
    <row r="1137" spans="2:23" ht="18.75" customHeight="1">
      <c r="C1137" s="98"/>
      <c r="D1137" s="99"/>
      <c r="E1137" s="101"/>
      <c r="F1137" s="37"/>
    </row>
    <row r="1139" spans="2:23" ht="18.75" customHeight="1" thickBot="1">
      <c r="B1139" s="42"/>
      <c r="C1139" s="42"/>
      <c r="D1139" s="42"/>
      <c r="E1139" s="42"/>
      <c r="F1139" s="42"/>
      <c r="G1139" s="42"/>
      <c r="H1139" s="42"/>
      <c r="I1139" s="42"/>
      <c r="J1139" s="42"/>
      <c r="K1139" s="42"/>
      <c r="L1139" s="42"/>
      <c r="M1139" s="42"/>
      <c r="N1139" s="42"/>
      <c r="O1139" s="42"/>
      <c r="P1139" s="42"/>
      <c r="Q1139" s="42"/>
      <c r="R1139" s="42"/>
      <c r="S1139" s="42"/>
      <c r="T1139" s="42"/>
      <c r="U1139" s="42"/>
    </row>
    <row r="1141" spans="2:23" ht="18.75" customHeight="1">
      <c r="B1141" s="43" t="s">
        <v>163</v>
      </c>
      <c r="C1141" s="51" t="s">
        <v>3459</v>
      </c>
      <c r="D1141" s="90"/>
      <c r="W1141" s="35" t="str">
        <f>"-- "&amp;B1141&amp;" : "&amp;C1141</f>
        <v>-- SQL_ID : 01_C2-09</v>
      </c>
    </row>
    <row r="1142" spans="2:23" ht="18.75" customHeight="1">
      <c r="B1142" s="43" t="s">
        <v>158</v>
      </c>
      <c r="C1142" s="102" t="str">
        <f>R1145&amp;"登録"</f>
        <v>バックアップ_医科レセプト_医薬品レコード登録</v>
      </c>
      <c r="D1142" s="103"/>
      <c r="E1142" s="103"/>
      <c r="F1142" s="103"/>
      <c r="G1142" s="103"/>
      <c r="H1142" s="103"/>
      <c r="I1142" s="103"/>
      <c r="J1142" s="103"/>
      <c r="K1142" s="103"/>
      <c r="L1142" s="103"/>
      <c r="M1142" s="103"/>
      <c r="N1142" s="103"/>
      <c r="O1142" s="103"/>
      <c r="P1142" s="103"/>
      <c r="Q1142" s="103"/>
      <c r="R1142" s="103"/>
      <c r="S1142" s="103"/>
      <c r="T1142" s="103"/>
      <c r="U1142" s="104"/>
      <c r="W1142" s="35" t="str">
        <f>"-- "&amp;C1142</f>
        <v>-- バックアップ_医科レセプト_医薬品レコード登録</v>
      </c>
    </row>
    <row r="1143" spans="2:23" ht="18.75" customHeight="1">
      <c r="B1143" s="43" t="s">
        <v>159</v>
      </c>
      <c r="C1143" s="105" t="str">
        <f>C1145&amp;"テーブルから組入れ条件の第一条件で絞り込んだ結果を"&amp;R1145&amp;"テーブルに格納する。"</f>
        <v>医科レセプト_医薬品レコード_結合テーブルから組入れ条件の第一条件で絞り込んだ結果をバックアップ_医科レセプト_医薬品レコードテーブルに格納する。</v>
      </c>
      <c r="D1143" s="106"/>
      <c r="E1143" s="106"/>
      <c r="F1143" s="106"/>
      <c r="G1143" s="106"/>
      <c r="H1143" s="106"/>
      <c r="I1143" s="106"/>
      <c r="J1143" s="106"/>
      <c r="K1143" s="106"/>
      <c r="L1143" s="106"/>
      <c r="M1143" s="106"/>
      <c r="N1143" s="106"/>
      <c r="O1143" s="106"/>
      <c r="P1143" s="106"/>
      <c r="Q1143" s="106"/>
      <c r="R1143" s="106"/>
      <c r="S1143" s="106"/>
      <c r="T1143" s="106"/>
      <c r="U1143" s="107"/>
      <c r="W1143" s="35" t="str">
        <f>"-- "&amp;C1143</f>
        <v>-- 医科レセプト_医薬品レコード_結合テーブルから組入れ条件の第一条件で絞り込んだ結果をバックアップ_医科レセプト_医薬品レコードテーブルに格納する。</v>
      </c>
    </row>
    <row r="1145" spans="2:23" ht="18.75" customHeight="1">
      <c r="C1145" s="96" t="s">
        <v>3460</v>
      </c>
      <c r="D1145" s="97"/>
      <c r="E1145" s="108" t="s">
        <v>162</v>
      </c>
      <c r="H1145" s="36"/>
      <c r="I1145" s="36"/>
      <c r="J1145" s="36"/>
      <c r="K1145" s="36"/>
      <c r="L1145" s="36"/>
      <c r="M1145" s="36"/>
      <c r="N1145" s="36"/>
      <c r="O1145" s="36"/>
      <c r="P1145" s="36"/>
      <c r="Q1145" s="36"/>
      <c r="R1145" s="96" t="str">
        <f>"バックアップ_"&amp;SUBSTITUTE(C1145,"_結合","")</f>
        <v>バックアップ_医科レセプト_医薬品レコード</v>
      </c>
      <c r="S1145" s="97"/>
      <c r="T1145" s="100" t="str">
        <f>エンティティ一覧!$O$2</f>
        <v>milscm_2023_010</v>
      </c>
    </row>
    <row r="1146" spans="2:23" ht="18.75" customHeight="1">
      <c r="C1146" s="98"/>
      <c r="D1146" s="99"/>
      <c r="E1146" s="109"/>
      <c r="F1146" s="37"/>
      <c r="G1146" s="38"/>
      <c r="H1146" s="37"/>
      <c r="I1146" s="37"/>
      <c r="J1146" s="37"/>
      <c r="K1146" s="37"/>
      <c r="L1146" s="37"/>
      <c r="M1146" s="37"/>
      <c r="N1146" s="37"/>
      <c r="O1146" s="37"/>
      <c r="P1146" s="37"/>
      <c r="Q1146" s="37"/>
      <c r="R1146" s="98"/>
      <c r="S1146" s="99"/>
      <c r="T1146" s="101"/>
    </row>
    <row r="1147" spans="2:23" ht="18.75" customHeight="1">
      <c r="F1147" s="39"/>
      <c r="G1147" s="40"/>
    </row>
    <row r="1148" spans="2:23" ht="18.75" customHeight="1">
      <c r="C1148" s="96" t="s">
        <v>3229</v>
      </c>
      <c r="D1148" s="97"/>
      <c r="E1148" s="100" t="str">
        <f>エンティティ一覧!$O$2</f>
        <v>milscm_2023_010</v>
      </c>
      <c r="G1148" s="41"/>
    </row>
    <row r="1149" spans="2:23" ht="18.75" customHeight="1">
      <c r="C1149" s="98"/>
      <c r="D1149" s="99"/>
      <c r="E1149" s="101"/>
      <c r="F1149" s="37"/>
    </row>
    <row r="1151" spans="2:23" ht="18.75" customHeight="1" thickBot="1">
      <c r="B1151" s="42"/>
      <c r="C1151" s="42"/>
      <c r="D1151" s="42"/>
      <c r="E1151" s="42"/>
      <c r="F1151" s="42"/>
      <c r="G1151" s="42"/>
      <c r="H1151" s="42"/>
      <c r="I1151" s="42"/>
      <c r="J1151" s="42"/>
      <c r="K1151" s="42"/>
      <c r="L1151" s="42"/>
      <c r="M1151" s="42"/>
      <c r="N1151" s="42"/>
      <c r="O1151" s="42"/>
      <c r="P1151" s="42"/>
      <c r="Q1151" s="42"/>
      <c r="R1151" s="42"/>
      <c r="S1151" s="42"/>
      <c r="T1151" s="42"/>
      <c r="U1151" s="42"/>
    </row>
    <row r="1153" spans="2:23" ht="18.75" customHeight="1">
      <c r="B1153" s="43" t="s">
        <v>163</v>
      </c>
      <c r="C1153" s="51" t="s">
        <v>3461</v>
      </c>
      <c r="D1153" s="90"/>
      <c r="W1153" s="35" t="str">
        <f>"-- "&amp;B1153&amp;" : "&amp;C1153</f>
        <v>-- SQL_ID : 01_C2-10</v>
      </c>
    </row>
    <row r="1154" spans="2:23" ht="18.75" customHeight="1">
      <c r="B1154" s="43" t="s">
        <v>158</v>
      </c>
      <c r="C1154" s="102" t="str">
        <f>R1157&amp;"登録"</f>
        <v>バックアップ_医科レセプト_医薬品レコード_算定日情報登録</v>
      </c>
      <c r="D1154" s="103"/>
      <c r="E1154" s="103"/>
      <c r="F1154" s="103"/>
      <c r="G1154" s="103"/>
      <c r="H1154" s="103"/>
      <c r="I1154" s="103"/>
      <c r="J1154" s="103"/>
      <c r="K1154" s="103"/>
      <c r="L1154" s="103"/>
      <c r="M1154" s="103"/>
      <c r="N1154" s="103"/>
      <c r="O1154" s="103"/>
      <c r="P1154" s="103"/>
      <c r="Q1154" s="103"/>
      <c r="R1154" s="103"/>
      <c r="S1154" s="103"/>
      <c r="T1154" s="103"/>
      <c r="U1154" s="104"/>
      <c r="W1154" s="35" t="str">
        <f>"-- "&amp;C1154</f>
        <v>-- バックアップ_医科レセプト_医薬品レコード_算定日情報登録</v>
      </c>
    </row>
    <row r="1155" spans="2:23" ht="18.75" customHeight="1">
      <c r="B1155" s="43" t="s">
        <v>159</v>
      </c>
      <c r="C1155" s="105" t="str">
        <f>C1157&amp;"テーブルから組入れ条件の第一条件で絞り込んだ結果を"&amp;R1157&amp;"テーブルに格納する。"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155" s="106"/>
      <c r="E1155" s="106"/>
      <c r="F1155" s="106"/>
      <c r="G1155" s="106"/>
      <c r="H1155" s="106"/>
      <c r="I1155" s="106"/>
      <c r="J1155" s="106"/>
      <c r="K1155" s="106"/>
      <c r="L1155" s="106"/>
      <c r="M1155" s="106"/>
      <c r="N1155" s="106"/>
      <c r="O1155" s="106"/>
      <c r="P1155" s="106"/>
      <c r="Q1155" s="106"/>
      <c r="R1155" s="106"/>
      <c r="S1155" s="106"/>
      <c r="T1155" s="106"/>
      <c r="U1155" s="107"/>
      <c r="W1155" s="35" t="str">
        <f>"-- "&amp;C1155</f>
        <v>-- 医科レセプト_医薬品レコード_算定日情報_結合テーブルから組入れ条件の第一条件で絞り込んだ結果をバックアップ_医科レセプト_医薬品レコード_算定日情報テーブルに格納する。</v>
      </c>
    </row>
    <row r="1157" spans="2:23" ht="18.75" customHeight="1">
      <c r="C1157" s="96" t="s">
        <v>3462</v>
      </c>
      <c r="D1157" s="97"/>
      <c r="E1157" s="108" t="s">
        <v>162</v>
      </c>
      <c r="H1157" s="36"/>
      <c r="I1157" s="36"/>
      <c r="J1157" s="36"/>
      <c r="K1157" s="36"/>
      <c r="L1157" s="36"/>
      <c r="M1157" s="36"/>
      <c r="N1157" s="36"/>
      <c r="O1157" s="36"/>
      <c r="P1157" s="36"/>
      <c r="Q1157" s="36"/>
      <c r="R1157" s="114" t="str">
        <f>"バックアップ_"&amp;SUBSTITUTE(C1157,"_結合","")</f>
        <v>バックアップ_医科レセプト_医薬品レコード_算定日情報</v>
      </c>
      <c r="S1157" s="115"/>
      <c r="T1157" s="100" t="str">
        <f>エンティティ一覧!$O$2</f>
        <v>milscm_2023_010</v>
      </c>
    </row>
    <row r="1158" spans="2:23" ht="18.75" customHeight="1">
      <c r="C1158" s="98"/>
      <c r="D1158" s="99"/>
      <c r="E1158" s="109"/>
      <c r="F1158" s="37"/>
      <c r="G1158" s="38"/>
      <c r="H1158" s="37"/>
      <c r="I1158" s="37"/>
      <c r="J1158" s="37"/>
      <c r="K1158" s="37"/>
      <c r="L1158" s="37"/>
      <c r="M1158" s="37"/>
      <c r="N1158" s="37"/>
      <c r="O1158" s="37"/>
      <c r="P1158" s="37"/>
      <c r="Q1158" s="37"/>
      <c r="R1158" s="116"/>
      <c r="S1158" s="117"/>
      <c r="T1158" s="101"/>
    </row>
    <row r="1159" spans="2:23" ht="18.75" customHeight="1">
      <c r="F1159" s="39"/>
      <c r="G1159" s="40"/>
    </row>
    <row r="1160" spans="2:23" ht="18.75" customHeight="1">
      <c r="C1160" s="96" t="s">
        <v>3229</v>
      </c>
      <c r="D1160" s="97"/>
      <c r="E1160" s="100" t="str">
        <f>エンティティ一覧!$O$2</f>
        <v>milscm_2023_010</v>
      </c>
      <c r="G1160" s="41"/>
    </row>
    <row r="1161" spans="2:23" ht="18.75" customHeight="1">
      <c r="C1161" s="98"/>
      <c r="D1161" s="99"/>
      <c r="E1161" s="101"/>
      <c r="F1161" s="37"/>
    </row>
    <row r="1163" spans="2:23" ht="18.75" customHeight="1" thickBot="1">
      <c r="B1163" s="42"/>
      <c r="C1163" s="42"/>
      <c r="D1163" s="42"/>
      <c r="E1163" s="42"/>
      <c r="F1163" s="42"/>
      <c r="G1163" s="42"/>
      <c r="H1163" s="42"/>
      <c r="I1163" s="42"/>
      <c r="J1163" s="42"/>
      <c r="K1163" s="42"/>
      <c r="L1163" s="42"/>
      <c r="M1163" s="42"/>
      <c r="N1163" s="42"/>
      <c r="O1163" s="42"/>
      <c r="P1163" s="42"/>
      <c r="Q1163" s="42"/>
      <c r="R1163" s="42"/>
      <c r="S1163" s="42"/>
      <c r="T1163" s="42"/>
      <c r="U1163" s="42"/>
    </row>
    <row r="1165" spans="2:23" ht="18.75" customHeight="1">
      <c r="B1165" s="43" t="s">
        <v>163</v>
      </c>
      <c r="C1165" s="51" t="s">
        <v>3463</v>
      </c>
      <c r="D1165" s="90"/>
      <c r="W1165" s="35" t="str">
        <f>"-- "&amp;B1165&amp;" : "&amp;C1165</f>
        <v>-- SQL_ID : 01_C2-16</v>
      </c>
    </row>
    <row r="1166" spans="2:23" ht="18.75" customHeight="1">
      <c r="B1166" s="43" t="s">
        <v>158</v>
      </c>
      <c r="C1166" s="102" t="str">
        <f>R1169&amp;"登録"</f>
        <v>バックアップ_医科レセプト_臓器提供者レセプト情報レコード登録</v>
      </c>
      <c r="D1166" s="103"/>
      <c r="E1166" s="103"/>
      <c r="F1166" s="103"/>
      <c r="G1166" s="103"/>
      <c r="H1166" s="103"/>
      <c r="I1166" s="103"/>
      <c r="J1166" s="103"/>
      <c r="K1166" s="103"/>
      <c r="L1166" s="103"/>
      <c r="M1166" s="103"/>
      <c r="N1166" s="103"/>
      <c r="O1166" s="103"/>
      <c r="P1166" s="103"/>
      <c r="Q1166" s="103"/>
      <c r="R1166" s="103"/>
      <c r="S1166" s="103"/>
      <c r="T1166" s="103"/>
      <c r="U1166" s="104"/>
      <c r="W1166" s="35" t="str">
        <f>"-- "&amp;C1166</f>
        <v>-- バックアップ_医科レセプト_臓器提供者レセプト情報レコード登録</v>
      </c>
    </row>
    <row r="1167" spans="2:23" ht="18.75" customHeight="1">
      <c r="B1167" s="43" t="s">
        <v>159</v>
      </c>
      <c r="C1167" s="105" t="str">
        <f>C1169&amp;"テーブルから組入れ条件の第一条件で絞り込んだ結果を"&amp;R1169&amp;"テーブルに格納する。"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167" s="106"/>
      <c r="E1167" s="106"/>
      <c r="F1167" s="106"/>
      <c r="G1167" s="106"/>
      <c r="H1167" s="106"/>
      <c r="I1167" s="106"/>
      <c r="J1167" s="106"/>
      <c r="K1167" s="106"/>
      <c r="L1167" s="106"/>
      <c r="M1167" s="106"/>
      <c r="N1167" s="106"/>
      <c r="O1167" s="106"/>
      <c r="P1167" s="106"/>
      <c r="Q1167" s="106"/>
      <c r="R1167" s="106"/>
      <c r="S1167" s="106"/>
      <c r="T1167" s="106"/>
      <c r="U1167" s="107"/>
      <c r="W1167" s="35" t="str">
        <f>"-- "&amp;C1167</f>
        <v>-- 医科レセプト_臓器提供者レセプト情報レコード_結合テーブルから組入れ条件の第一条件で絞り込んだ結果をバックアップ_医科レセプト_臓器提供者レセプト情報レコードテーブルに格納する。</v>
      </c>
    </row>
    <row r="1169" spans="2:23" ht="18.75" customHeight="1">
      <c r="C1169" s="96" t="s">
        <v>3464</v>
      </c>
      <c r="D1169" s="97"/>
      <c r="E1169" s="108" t="s">
        <v>162</v>
      </c>
      <c r="H1169" s="36"/>
      <c r="I1169" s="36"/>
      <c r="J1169" s="36"/>
      <c r="K1169" s="36"/>
      <c r="L1169" s="36"/>
      <c r="M1169" s="36"/>
      <c r="N1169" s="36"/>
      <c r="O1169" s="36"/>
      <c r="P1169" s="36"/>
      <c r="Q1169" s="36"/>
      <c r="R1169" s="118" t="str">
        <f>"バックアップ_"&amp;SUBSTITUTE(C1169,"_結合","")</f>
        <v>バックアップ_医科レセプト_臓器提供者レセプト情報レコード</v>
      </c>
      <c r="S1169" s="119"/>
      <c r="T1169" s="100" t="str">
        <f>エンティティ一覧!$O$2</f>
        <v>milscm_2023_010</v>
      </c>
    </row>
    <row r="1170" spans="2:23" ht="18.75" customHeight="1">
      <c r="C1170" s="98"/>
      <c r="D1170" s="99"/>
      <c r="E1170" s="109"/>
      <c r="F1170" s="37"/>
      <c r="G1170" s="38"/>
      <c r="H1170" s="37"/>
      <c r="I1170" s="37"/>
      <c r="J1170" s="37"/>
      <c r="K1170" s="37"/>
      <c r="L1170" s="37"/>
      <c r="M1170" s="37"/>
      <c r="N1170" s="37"/>
      <c r="O1170" s="37"/>
      <c r="P1170" s="37"/>
      <c r="Q1170" s="37"/>
      <c r="R1170" s="120"/>
      <c r="S1170" s="121"/>
      <c r="T1170" s="101"/>
    </row>
    <row r="1171" spans="2:23" ht="18.75" customHeight="1">
      <c r="F1171" s="39"/>
      <c r="G1171" s="40"/>
    </row>
    <row r="1172" spans="2:23" ht="18.75" customHeight="1">
      <c r="C1172" s="96" t="s">
        <v>3229</v>
      </c>
      <c r="D1172" s="97"/>
      <c r="E1172" s="100" t="str">
        <f>エンティティ一覧!$O$2</f>
        <v>milscm_2023_010</v>
      </c>
      <c r="G1172" s="41"/>
    </row>
    <row r="1173" spans="2:23" ht="18.75" customHeight="1">
      <c r="C1173" s="98"/>
      <c r="D1173" s="99"/>
      <c r="E1173" s="101"/>
      <c r="F1173" s="37"/>
    </row>
    <row r="1175" spans="2:23" ht="18.75" customHeight="1" thickBot="1">
      <c r="B1175" s="42"/>
      <c r="C1175" s="42"/>
      <c r="D1175" s="42"/>
      <c r="E1175" s="42"/>
      <c r="F1175" s="42"/>
      <c r="G1175" s="42"/>
      <c r="H1175" s="42"/>
      <c r="I1175" s="42"/>
      <c r="J1175" s="42"/>
      <c r="K1175" s="42"/>
      <c r="L1175" s="42"/>
      <c r="M1175" s="42"/>
      <c r="N1175" s="42"/>
      <c r="O1175" s="42"/>
      <c r="P1175" s="42"/>
      <c r="Q1175" s="42"/>
      <c r="R1175" s="42"/>
      <c r="S1175" s="42"/>
      <c r="T1175" s="42"/>
      <c r="U1175" s="42"/>
    </row>
    <row r="1177" spans="2:23" ht="18.75" customHeight="1">
      <c r="B1177" s="43" t="s">
        <v>163</v>
      </c>
      <c r="C1177" s="51" t="s">
        <v>3465</v>
      </c>
      <c r="D1177" s="90"/>
      <c r="W1177" s="35" t="str">
        <f>"-- "&amp;B1177&amp;" : "&amp;C1177</f>
        <v>-- SQL_ID : 01_C3-01</v>
      </c>
    </row>
    <row r="1178" spans="2:23" ht="18.75" customHeight="1">
      <c r="B1178" s="43" t="s">
        <v>158</v>
      </c>
      <c r="C1178" s="102" t="str">
        <f>R1181&amp;"登録"</f>
        <v>バックアップ_DPCレセプト_医療機関情報レコード登録</v>
      </c>
      <c r="D1178" s="103"/>
      <c r="E1178" s="103"/>
      <c r="F1178" s="103"/>
      <c r="G1178" s="103"/>
      <c r="H1178" s="103"/>
      <c r="I1178" s="103"/>
      <c r="J1178" s="103"/>
      <c r="K1178" s="103"/>
      <c r="L1178" s="103"/>
      <c r="M1178" s="103"/>
      <c r="N1178" s="103"/>
      <c r="O1178" s="103"/>
      <c r="P1178" s="103"/>
      <c r="Q1178" s="103"/>
      <c r="R1178" s="103"/>
      <c r="S1178" s="103"/>
      <c r="T1178" s="103"/>
      <c r="U1178" s="104"/>
      <c r="W1178" s="35" t="str">
        <f>"-- "&amp;C1178</f>
        <v>-- バックアップ_DPCレセプト_医療機関情報レコード登録</v>
      </c>
    </row>
    <row r="1179" spans="2:23" ht="18.75" customHeight="1">
      <c r="B1179" s="43" t="s">
        <v>159</v>
      </c>
      <c r="C1179" s="105" t="str">
        <f>C1181&amp;"テーブルから組入れ条件の第一条件で絞り込んだ結果を"&amp;R1181&amp;"テーブルに格納する。"</f>
        <v>DPCレセプト_医療機関情報レコード_結合テーブルから組入れ条件の第一条件で絞り込んだ結果をバックアップ_DPCレセプト_医療機関情報レコードテーブルに格納する。</v>
      </c>
      <c r="D1179" s="106"/>
      <c r="E1179" s="106"/>
      <c r="F1179" s="106"/>
      <c r="G1179" s="106"/>
      <c r="H1179" s="106"/>
      <c r="I1179" s="106"/>
      <c r="J1179" s="106"/>
      <c r="K1179" s="106"/>
      <c r="L1179" s="106"/>
      <c r="M1179" s="106"/>
      <c r="N1179" s="106"/>
      <c r="O1179" s="106"/>
      <c r="P1179" s="106"/>
      <c r="Q1179" s="106"/>
      <c r="R1179" s="106"/>
      <c r="S1179" s="106"/>
      <c r="T1179" s="106"/>
      <c r="U1179" s="107"/>
      <c r="W1179" s="35" t="str">
        <f>"-- "&amp;C1179</f>
        <v>-- DPCレセプト_医療機関情報レコード_結合テーブルから組入れ条件の第一条件で絞り込んだ結果をバックアップ_DPCレセプト_医療機関情報レコードテーブルに格納する。</v>
      </c>
    </row>
    <row r="1181" spans="2:23" ht="18.75" customHeight="1">
      <c r="C1181" s="96" t="s">
        <v>3466</v>
      </c>
      <c r="D1181" s="97"/>
      <c r="E1181" s="108" t="s">
        <v>162</v>
      </c>
      <c r="H1181" s="36"/>
      <c r="I1181" s="36"/>
      <c r="J1181" s="36"/>
      <c r="K1181" s="36"/>
      <c r="L1181" s="36"/>
      <c r="M1181" s="36"/>
      <c r="N1181" s="36"/>
      <c r="O1181" s="36"/>
      <c r="P1181" s="36"/>
      <c r="Q1181" s="36"/>
      <c r="R1181" s="96" t="str">
        <f>"バックアップ_"&amp;SUBSTITUTE(C1181,"_結合","")</f>
        <v>バックアップ_DPCレセプト_医療機関情報レコード</v>
      </c>
      <c r="S1181" s="97"/>
      <c r="T1181" s="100" t="str">
        <f>エンティティ一覧!$O$2</f>
        <v>milscm_2023_010</v>
      </c>
    </row>
    <row r="1182" spans="2:23" ht="18.75" customHeight="1">
      <c r="C1182" s="98"/>
      <c r="D1182" s="99"/>
      <c r="E1182" s="109"/>
      <c r="F1182" s="37"/>
      <c r="G1182" s="38"/>
      <c r="H1182" s="37"/>
      <c r="I1182" s="37"/>
      <c r="J1182" s="37"/>
      <c r="K1182" s="37"/>
      <c r="L1182" s="37"/>
      <c r="M1182" s="37"/>
      <c r="N1182" s="37"/>
      <c r="O1182" s="37"/>
      <c r="P1182" s="37"/>
      <c r="Q1182" s="37"/>
      <c r="R1182" s="98"/>
      <c r="S1182" s="99"/>
      <c r="T1182" s="101"/>
    </row>
    <row r="1183" spans="2:23" ht="18.75" customHeight="1">
      <c r="F1183" s="39"/>
      <c r="G1183" s="40"/>
    </row>
    <row r="1184" spans="2:23" ht="18.75" customHeight="1">
      <c r="C1184" s="96" t="s">
        <v>3229</v>
      </c>
      <c r="D1184" s="97"/>
      <c r="E1184" s="100" t="str">
        <f>エンティティ一覧!$O$2</f>
        <v>milscm_2023_010</v>
      </c>
      <c r="G1184" s="41"/>
    </row>
    <row r="1185" spans="2:23" ht="18.75" customHeight="1">
      <c r="C1185" s="98"/>
      <c r="D1185" s="99"/>
      <c r="E1185" s="101"/>
      <c r="F1185" s="37"/>
    </row>
    <row r="1187" spans="2:23" ht="18.75" customHeight="1" thickBot="1">
      <c r="B1187" s="42"/>
      <c r="C1187" s="42"/>
      <c r="D1187" s="42"/>
      <c r="E1187" s="42"/>
      <c r="F1187" s="42"/>
      <c r="G1187" s="42"/>
      <c r="H1187" s="42"/>
      <c r="I1187" s="42"/>
      <c r="J1187" s="42"/>
      <c r="K1187" s="42"/>
      <c r="L1187" s="42"/>
      <c r="M1187" s="42"/>
      <c r="N1187" s="42"/>
      <c r="O1187" s="42"/>
      <c r="P1187" s="42"/>
      <c r="Q1187" s="42"/>
      <c r="R1187" s="42"/>
      <c r="S1187" s="42"/>
      <c r="T1187" s="42"/>
      <c r="U1187" s="42"/>
    </row>
    <row r="1189" spans="2:23" ht="18.75" customHeight="1">
      <c r="B1189" s="43" t="s">
        <v>163</v>
      </c>
      <c r="C1189" s="51" t="s">
        <v>3467</v>
      </c>
      <c r="D1189" s="90"/>
      <c r="W1189" s="35" t="str">
        <f>"-- "&amp;B1189&amp;" : "&amp;C1189</f>
        <v>-- SQL_ID : 01_C3-02</v>
      </c>
    </row>
    <row r="1190" spans="2:23" ht="18.75" customHeight="1">
      <c r="B1190" s="43" t="s">
        <v>158</v>
      </c>
      <c r="C1190" s="102" t="str">
        <f>R1193&amp;"登録"</f>
        <v>バックアップ_DPCレセプト_レセプト共通レコード登録</v>
      </c>
      <c r="D1190" s="103"/>
      <c r="E1190" s="103"/>
      <c r="F1190" s="103"/>
      <c r="G1190" s="103"/>
      <c r="H1190" s="103"/>
      <c r="I1190" s="103"/>
      <c r="J1190" s="103"/>
      <c r="K1190" s="103"/>
      <c r="L1190" s="103"/>
      <c r="M1190" s="103"/>
      <c r="N1190" s="103"/>
      <c r="O1190" s="103"/>
      <c r="P1190" s="103"/>
      <c r="Q1190" s="103"/>
      <c r="R1190" s="103"/>
      <c r="S1190" s="103"/>
      <c r="T1190" s="103"/>
      <c r="U1190" s="104"/>
      <c r="W1190" s="35" t="str">
        <f>"-- "&amp;C1190</f>
        <v>-- バックアップ_DPCレセプト_レセプト共通レコード登録</v>
      </c>
    </row>
    <row r="1191" spans="2:23" ht="18.75" customHeight="1">
      <c r="B1191" s="43" t="s">
        <v>159</v>
      </c>
      <c r="C1191" s="105" t="str">
        <f>C1193&amp;"テーブルから組入れ条件の第一条件で絞り込んだ結果を"&amp;R1193&amp;"テーブルに格納する。"</f>
        <v>DPCレセプト_レセプト共通レコード_結合テーブルから組入れ条件の第一条件で絞り込んだ結果をバックアップ_DPCレセプト_レセプト共通レコードテーブルに格納する。</v>
      </c>
      <c r="D1191" s="106"/>
      <c r="E1191" s="106"/>
      <c r="F1191" s="106"/>
      <c r="G1191" s="106"/>
      <c r="H1191" s="106"/>
      <c r="I1191" s="106"/>
      <c r="J1191" s="106"/>
      <c r="K1191" s="106"/>
      <c r="L1191" s="106"/>
      <c r="M1191" s="106"/>
      <c r="N1191" s="106"/>
      <c r="O1191" s="106"/>
      <c r="P1191" s="106"/>
      <c r="Q1191" s="106"/>
      <c r="R1191" s="106"/>
      <c r="S1191" s="106"/>
      <c r="T1191" s="106"/>
      <c r="U1191" s="107"/>
      <c r="W1191" s="35" t="str">
        <f>"-- "&amp;C1191</f>
        <v>-- DPCレセプト_レセプト共通レコード_結合テーブルから組入れ条件の第一条件で絞り込んだ結果をバックアップ_DPCレセプト_レセプト共通レコードテーブルに格納する。</v>
      </c>
    </row>
    <row r="1193" spans="2:23" ht="18.75" customHeight="1">
      <c r="C1193" s="96" t="s">
        <v>3468</v>
      </c>
      <c r="D1193" s="97"/>
      <c r="E1193" s="108" t="s">
        <v>162</v>
      </c>
      <c r="H1193" s="36"/>
      <c r="I1193" s="36"/>
      <c r="J1193" s="36"/>
      <c r="K1193" s="36"/>
      <c r="L1193" s="36"/>
      <c r="M1193" s="36"/>
      <c r="N1193" s="36"/>
      <c r="O1193" s="36"/>
      <c r="P1193" s="36"/>
      <c r="Q1193" s="36"/>
      <c r="R1193" s="96" t="str">
        <f>"バックアップ_"&amp;SUBSTITUTE(C1193,"_結合","")</f>
        <v>バックアップ_DPCレセプト_レセプト共通レコード</v>
      </c>
      <c r="S1193" s="97"/>
      <c r="T1193" s="100" t="str">
        <f>エンティティ一覧!$O$2</f>
        <v>milscm_2023_010</v>
      </c>
    </row>
    <row r="1194" spans="2:23" ht="18.75" customHeight="1">
      <c r="C1194" s="98"/>
      <c r="D1194" s="99"/>
      <c r="E1194" s="109"/>
      <c r="F1194" s="37"/>
      <c r="G1194" s="38"/>
      <c r="H1194" s="37"/>
      <c r="I1194" s="37"/>
      <c r="J1194" s="37"/>
      <c r="K1194" s="37"/>
      <c r="L1194" s="37"/>
      <c r="M1194" s="37"/>
      <c r="N1194" s="37"/>
      <c r="O1194" s="37"/>
      <c r="P1194" s="37"/>
      <c r="Q1194" s="37"/>
      <c r="R1194" s="98"/>
      <c r="S1194" s="99"/>
      <c r="T1194" s="101"/>
    </row>
    <row r="1195" spans="2:23" ht="18.75" customHeight="1">
      <c r="F1195" s="39"/>
      <c r="G1195" s="40"/>
    </row>
    <row r="1196" spans="2:23" ht="18.75" customHeight="1">
      <c r="C1196" s="96" t="s">
        <v>3229</v>
      </c>
      <c r="D1196" s="97"/>
      <c r="E1196" s="100" t="str">
        <f>エンティティ一覧!$O$2</f>
        <v>milscm_2023_010</v>
      </c>
      <c r="G1196" s="41"/>
    </row>
    <row r="1197" spans="2:23" ht="18.75" customHeight="1">
      <c r="C1197" s="98"/>
      <c r="D1197" s="99"/>
      <c r="E1197" s="101"/>
      <c r="F1197" s="37"/>
    </row>
    <row r="1199" spans="2:23" ht="18.75" customHeight="1" thickBot="1">
      <c r="B1199" s="42"/>
      <c r="C1199" s="42"/>
      <c r="D1199" s="42"/>
      <c r="E1199" s="42"/>
      <c r="F1199" s="42"/>
      <c r="G1199" s="42"/>
      <c r="H1199" s="42"/>
      <c r="I1199" s="42"/>
      <c r="J1199" s="42"/>
      <c r="K1199" s="42"/>
      <c r="L1199" s="42"/>
      <c r="M1199" s="42"/>
      <c r="N1199" s="42"/>
      <c r="O1199" s="42"/>
      <c r="P1199" s="42"/>
      <c r="Q1199" s="42"/>
      <c r="R1199" s="42"/>
      <c r="S1199" s="42"/>
      <c r="T1199" s="42"/>
      <c r="U1199" s="42"/>
    </row>
    <row r="1201" spans="2:23" ht="18.75" customHeight="1">
      <c r="B1201" s="43" t="s">
        <v>163</v>
      </c>
      <c r="C1201" s="51" t="s">
        <v>3469</v>
      </c>
      <c r="D1201" s="90"/>
      <c r="W1201" s="35" t="str">
        <f>"-- "&amp;B1201&amp;" : "&amp;C1201</f>
        <v>-- SQL_ID : 01_C3-08</v>
      </c>
    </row>
    <row r="1202" spans="2:23" ht="18.75" customHeight="1">
      <c r="B1202" s="43" t="s">
        <v>158</v>
      </c>
      <c r="C1202" s="102" t="str">
        <f>R1205&amp;"登録"</f>
        <v>バックアップ_DPCレセプト_診断群分類レコード登録</v>
      </c>
      <c r="D1202" s="103"/>
      <c r="E1202" s="103"/>
      <c r="F1202" s="103"/>
      <c r="G1202" s="103"/>
      <c r="H1202" s="103"/>
      <c r="I1202" s="103"/>
      <c r="J1202" s="103"/>
      <c r="K1202" s="103"/>
      <c r="L1202" s="103"/>
      <c r="M1202" s="103"/>
      <c r="N1202" s="103"/>
      <c r="O1202" s="103"/>
      <c r="P1202" s="103"/>
      <c r="Q1202" s="103"/>
      <c r="R1202" s="103"/>
      <c r="S1202" s="103"/>
      <c r="T1202" s="103"/>
      <c r="U1202" s="104"/>
      <c r="W1202" s="35" t="str">
        <f>"-- "&amp;C1202</f>
        <v>-- バックアップ_DPCレセプト_診断群分類レコード登録</v>
      </c>
    </row>
    <row r="1203" spans="2:23" ht="18.75" customHeight="1">
      <c r="B1203" s="43" t="s">
        <v>159</v>
      </c>
      <c r="C1203" s="105" t="str">
        <f>C1205&amp;"テーブルから組入れ条件の第一条件で絞り込んだ結果を"&amp;R1205&amp;"テーブルに格納する。"</f>
        <v>DPCレセプト_診断群分類レコード_結合テーブルから組入れ条件の第一条件で絞り込んだ結果をバックアップ_DPCレセプト_診断群分類レコードテーブルに格納する。</v>
      </c>
      <c r="D1203" s="106"/>
      <c r="E1203" s="106"/>
      <c r="F1203" s="106"/>
      <c r="G1203" s="106"/>
      <c r="H1203" s="106"/>
      <c r="I1203" s="106"/>
      <c r="J1203" s="106"/>
      <c r="K1203" s="106"/>
      <c r="L1203" s="106"/>
      <c r="M1203" s="106"/>
      <c r="N1203" s="106"/>
      <c r="O1203" s="106"/>
      <c r="P1203" s="106"/>
      <c r="Q1203" s="106"/>
      <c r="R1203" s="106"/>
      <c r="S1203" s="106"/>
      <c r="T1203" s="106"/>
      <c r="U1203" s="107"/>
      <c r="W1203" s="35" t="str">
        <f>"-- "&amp;C1203</f>
        <v>-- DPCレセプト_診断群分類レコード_結合テーブルから組入れ条件の第一条件で絞り込んだ結果をバックアップ_DPCレセプト_診断群分類レコードテーブルに格納する。</v>
      </c>
    </row>
    <row r="1205" spans="2:23" ht="18.75" customHeight="1">
      <c r="C1205" s="96" t="s">
        <v>3470</v>
      </c>
      <c r="D1205" s="97"/>
      <c r="E1205" s="108" t="s">
        <v>162</v>
      </c>
      <c r="H1205" s="36"/>
      <c r="I1205" s="36"/>
      <c r="J1205" s="36"/>
      <c r="K1205" s="36"/>
      <c r="L1205" s="36"/>
      <c r="M1205" s="36"/>
      <c r="N1205" s="36"/>
      <c r="O1205" s="36"/>
      <c r="P1205" s="36"/>
      <c r="Q1205" s="36"/>
      <c r="R1205" s="96" t="str">
        <f>"バックアップ_"&amp;SUBSTITUTE(C1205,"_結合","")</f>
        <v>バックアップ_DPCレセプト_診断群分類レコード</v>
      </c>
      <c r="S1205" s="97"/>
      <c r="T1205" s="100" t="str">
        <f>エンティティ一覧!$O$2</f>
        <v>milscm_2023_010</v>
      </c>
    </row>
    <row r="1206" spans="2:23" ht="18.75" customHeight="1">
      <c r="C1206" s="98"/>
      <c r="D1206" s="99"/>
      <c r="E1206" s="109"/>
      <c r="F1206" s="37"/>
      <c r="G1206" s="38"/>
      <c r="H1206" s="37"/>
      <c r="I1206" s="37"/>
      <c r="J1206" s="37"/>
      <c r="K1206" s="37"/>
      <c r="L1206" s="37"/>
      <c r="M1206" s="37"/>
      <c r="N1206" s="37"/>
      <c r="O1206" s="37"/>
      <c r="P1206" s="37"/>
      <c r="Q1206" s="37"/>
      <c r="R1206" s="98"/>
      <c r="S1206" s="99"/>
      <c r="T1206" s="101"/>
    </row>
    <row r="1207" spans="2:23" ht="18.75" customHeight="1">
      <c r="F1207" s="39"/>
      <c r="G1207" s="40"/>
    </row>
    <row r="1208" spans="2:23" ht="18.75" customHeight="1">
      <c r="C1208" s="96" t="s">
        <v>3229</v>
      </c>
      <c r="D1208" s="97"/>
      <c r="E1208" s="100" t="str">
        <f>エンティティ一覧!$O$2</f>
        <v>milscm_2023_010</v>
      </c>
      <c r="G1208" s="41"/>
    </row>
    <row r="1209" spans="2:23" ht="18.75" customHeight="1">
      <c r="C1209" s="98"/>
      <c r="D1209" s="99"/>
      <c r="E1209" s="101"/>
      <c r="F1209" s="37"/>
    </row>
    <row r="1211" spans="2:23" ht="18.75" customHeight="1" thickBot="1">
      <c r="B1211" s="42"/>
      <c r="C1211" s="42"/>
      <c r="D1211" s="42"/>
      <c r="E1211" s="42"/>
      <c r="F1211" s="42"/>
      <c r="G1211" s="42"/>
      <c r="H1211" s="42"/>
      <c r="I1211" s="42"/>
      <c r="J1211" s="42"/>
      <c r="K1211" s="42"/>
      <c r="L1211" s="42"/>
      <c r="M1211" s="42"/>
      <c r="N1211" s="42"/>
      <c r="O1211" s="42"/>
      <c r="P1211" s="42"/>
      <c r="Q1211" s="42"/>
      <c r="R1211" s="42"/>
      <c r="S1211" s="42"/>
      <c r="T1211" s="42"/>
      <c r="U1211" s="42"/>
    </row>
    <row r="1213" spans="2:23" ht="18.75" customHeight="1">
      <c r="B1213" s="43" t="s">
        <v>163</v>
      </c>
      <c r="C1213" s="51" t="s">
        <v>3471</v>
      </c>
      <c r="D1213" s="90"/>
      <c r="W1213" s="35" t="str">
        <f>"-- "&amp;B1213&amp;" : "&amp;C1213</f>
        <v>-- SQL_ID : 01_C3-09</v>
      </c>
    </row>
    <row r="1214" spans="2:23" ht="18.75" customHeight="1">
      <c r="B1214" s="43" t="s">
        <v>158</v>
      </c>
      <c r="C1214" s="102" t="str">
        <f>R1217&amp;"登録"</f>
        <v>バックアップ_DPCレセプト_傷病レコード登録</v>
      </c>
      <c r="D1214" s="103"/>
      <c r="E1214" s="103"/>
      <c r="F1214" s="103"/>
      <c r="G1214" s="103"/>
      <c r="H1214" s="103"/>
      <c r="I1214" s="103"/>
      <c r="J1214" s="103"/>
      <c r="K1214" s="103"/>
      <c r="L1214" s="103"/>
      <c r="M1214" s="103"/>
      <c r="N1214" s="103"/>
      <c r="O1214" s="103"/>
      <c r="P1214" s="103"/>
      <c r="Q1214" s="103"/>
      <c r="R1214" s="103"/>
      <c r="S1214" s="103"/>
      <c r="T1214" s="103"/>
      <c r="U1214" s="104"/>
      <c r="W1214" s="35" t="str">
        <f>"-- "&amp;C1214</f>
        <v>-- バックアップ_DPCレセプト_傷病レコード登録</v>
      </c>
    </row>
    <row r="1215" spans="2:23" ht="18.75" customHeight="1">
      <c r="B1215" s="43" t="s">
        <v>159</v>
      </c>
      <c r="C1215" s="105" t="str">
        <f>C1217&amp;"テーブルから組入れ条件の第一条件で絞り込んだ結果を"&amp;R1217&amp;"テーブルに格納する。"</f>
        <v>DPCレセプト_傷病レコード_結合テーブルから組入れ条件の第一条件で絞り込んだ結果をバックアップ_DPCレセプト_傷病レコードテーブルに格納する。</v>
      </c>
      <c r="D1215" s="106"/>
      <c r="E1215" s="106"/>
      <c r="F1215" s="106"/>
      <c r="G1215" s="106"/>
      <c r="H1215" s="106"/>
      <c r="I1215" s="106"/>
      <c r="J1215" s="106"/>
      <c r="K1215" s="106"/>
      <c r="L1215" s="106"/>
      <c r="M1215" s="106"/>
      <c r="N1215" s="106"/>
      <c r="O1215" s="106"/>
      <c r="P1215" s="106"/>
      <c r="Q1215" s="106"/>
      <c r="R1215" s="106"/>
      <c r="S1215" s="106"/>
      <c r="T1215" s="106"/>
      <c r="U1215" s="107"/>
      <c r="W1215" s="35" t="str">
        <f>"-- "&amp;C1215</f>
        <v>-- DPCレセプト_傷病レコード_結合テーブルから組入れ条件の第一条件で絞り込んだ結果をバックアップ_DPCレセプト_傷病レコードテーブルに格納する。</v>
      </c>
    </row>
    <row r="1217" spans="2:23" ht="18.75" customHeight="1">
      <c r="C1217" s="96" t="s">
        <v>3472</v>
      </c>
      <c r="D1217" s="97"/>
      <c r="E1217" s="108" t="s">
        <v>162</v>
      </c>
      <c r="H1217" s="36"/>
      <c r="I1217" s="36"/>
      <c r="J1217" s="36"/>
      <c r="K1217" s="36"/>
      <c r="L1217" s="36"/>
      <c r="M1217" s="36"/>
      <c r="N1217" s="36"/>
      <c r="O1217" s="36"/>
      <c r="P1217" s="36"/>
      <c r="Q1217" s="36"/>
      <c r="R1217" s="96" t="str">
        <f>"バックアップ_"&amp;SUBSTITUTE(C1217,"_結合","")</f>
        <v>バックアップ_DPCレセプト_傷病レコード</v>
      </c>
      <c r="S1217" s="97"/>
      <c r="T1217" s="100" t="str">
        <f>エンティティ一覧!$O$2</f>
        <v>milscm_2023_010</v>
      </c>
    </row>
    <row r="1218" spans="2:23" ht="18.75" customHeight="1">
      <c r="C1218" s="98"/>
      <c r="D1218" s="99"/>
      <c r="E1218" s="109"/>
      <c r="F1218" s="37"/>
      <c r="G1218" s="38"/>
      <c r="H1218" s="37"/>
      <c r="I1218" s="37"/>
      <c r="J1218" s="37"/>
      <c r="K1218" s="37"/>
      <c r="L1218" s="37"/>
      <c r="M1218" s="37"/>
      <c r="N1218" s="37"/>
      <c r="O1218" s="37"/>
      <c r="P1218" s="37"/>
      <c r="Q1218" s="37"/>
      <c r="R1218" s="98"/>
      <c r="S1218" s="99"/>
      <c r="T1218" s="101"/>
    </row>
    <row r="1219" spans="2:23" ht="18.75" customHeight="1">
      <c r="F1219" s="39"/>
      <c r="G1219" s="40"/>
    </row>
    <row r="1220" spans="2:23" ht="18.75" customHeight="1">
      <c r="C1220" s="96" t="s">
        <v>3229</v>
      </c>
      <c r="D1220" s="97"/>
      <c r="E1220" s="100" t="str">
        <f>エンティティ一覧!$O$2</f>
        <v>milscm_2023_010</v>
      </c>
      <c r="G1220" s="41"/>
    </row>
    <row r="1221" spans="2:23" ht="18.75" customHeight="1">
      <c r="C1221" s="98"/>
      <c r="D1221" s="99"/>
      <c r="E1221" s="101"/>
      <c r="F1221" s="37"/>
    </row>
    <row r="1223" spans="2:23" ht="18.75" customHeight="1" thickBot="1">
      <c r="B1223" s="42"/>
      <c r="C1223" s="42"/>
      <c r="D1223" s="42"/>
      <c r="E1223" s="42"/>
      <c r="F1223" s="42"/>
      <c r="G1223" s="42"/>
      <c r="H1223" s="42"/>
      <c r="I1223" s="42"/>
      <c r="J1223" s="42"/>
      <c r="K1223" s="42"/>
      <c r="L1223" s="42"/>
      <c r="M1223" s="42"/>
      <c r="N1223" s="42"/>
      <c r="O1223" s="42"/>
      <c r="P1223" s="42"/>
      <c r="Q1223" s="42"/>
      <c r="R1223" s="42"/>
      <c r="S1223" s="42"/>
      <c r="T1223" s="42"/>
      <c r="U1223" s="42"/>
    </row>
    <row r="1225" spans="2:23" ht="18.75" customHeight="1">
      <c r="B1225" s="43" t="s">
        <v>163</v>
      </c>
      <c r="C1225" s="51" t="s">
        <v>3473</v>
      </c>
      <c r="D1225" s="90"/>
      <c r="W1225" s="35" t="str">
        <f>"-- "&amp;B1225&amp;" : "&amp;C1225</f>
        <v>-- SQL_ID : 01_C3-10</v>
      </c>
    </row>
    <row r="1226" spans="2:23" ht="18.75" customHeight="1">
      <c r="B1226" s="43" t="s">
        <v>158</v>
      </c>
      <c r="C1226" s="102" t="str">
        <f>R1229&amp;"登録"</f>
        <v>バックアップ_DPCレセプト_傷病名レコード登録</v>
      </c>
      <c r="D1226" s="103"/>
      <c r="E1226" s="103"/>
      <c r="F1226" s="103"/>
      <c r="G1226" s="103"/>
      <c r="H1226" s="103"/>
      <c r="I1226" s="103"/>
      <c r="J1226" s="103"/>
      <c r="K1226" s="103"/>
      <c r="L1226" s="103"/>
      <c r="M1226" s="103"/>
      <c r="N1226" s="103"/>
      <c r="O1226" s="103"/>
      <c r="P1226" s="103"/>
      <c r="Q1226" s="103"/>
      <c r="R1226" s="103"/>
      <c r="S1226" s="103"/>
      <c r="T1226" s="103"/>
      <c r="U1226" s="104"/>
      <c r="W1226" s="35" t="str">
        <f>"-- "&amp;C1226</f>
        <v>-- バックアップ_DPCレセプト_傷病名レコード登録</v>
      </c>
    </row>
    <row r="1227" spans="2:23" ht="18.75" customHeight="1">
      <c r="B1227" s="43" t="s">
        <v>159</v>
      </c>
      <c r="C1227" s="105" t="str">
        <f>C1229&amp;"テーブルから組入れ条件の第一条件で絞り込んだ結果を"&amp;R1229&amp;"テーブルに格納する。"</f>
        <v>DPCレセプト_傷病名レコード_結合テーブルから組入れ条件の第一条件で絞り込んだ結果をバックアップ_DPCレセプト_傷病名レコードテーブルに格納する。</v>
      </c>
      <c r="D1227" s="106"/>
      <c r="E1227" s="106"/>
      <c r="F1227" s="106"/>
      <c r="G1227" s="106"/>
      <c r="H1227" s="106"/>
      <c r="I1227" s="106"/>
      <c r="J1227" s="106"/>
      <c r="K1227" s="106"/>
      <c r="L1227" s="106"/>
      <c r="M1227" s="106"/>
      <c r="N1227" s="106"/>
      <c r="O1227" s="106"/>
      <c r="P1227" s="106"/>
      <c r="Q1227" s="106"/>
      <c r="R1227" s="106"/>
      <c r="S1227" s="106"/>
      <c r="T1227" s="106"/>
      <c r="U1227" s="107"/>
      <c r="W1227" s="35" t="str">
        <f>"-- "&amp;C1227</f>
        <v>-- DPCレセプト_傷病名レコード_結合テーブルから組入れ条件の第一条件で絞り込んだ結果をバックアップ_DPCレセプト_傷病名レコードテーブルに格納する。</v>
      </c>
    </row>
    <row r="1229" spans="2:23" ht="18.75" customHeight="1">
      <c r="C1229" s="96" t="s">
        <v>3474</v>
      </c>
      <c r="D1229" s="97"/>
      <c r="E1229" s="108" t="s">
        <v>162</v>
      </c>
      <c r="H1229" s="36"/>
      <c r="I1229" s="36"/>
      <c r="J1229" s="36"/>
      <c r="K1229" s="36"/>
      <c r="L1229" s="36"/>
      <c r="M1229" s="36"/>
      <c r="N1229" s="36"/>
      <c r="O1229" s="36"/>
      <c r="P1229" s="36"/>
      <c r="Q1229" s="36"/>
      <c r="R1229" s="96" t="str">
        <f>"バックアップ_"&amp;SUBSTITUTE(C1229,"_結合","")</f>
        <v>バックアップ_DPCレセプト_傷病名レコード</v>
      </c>
      <c r="S1229" s="97"/>
      <c r="T1229" s="100" t="str">
        <f>エンティティ一覧!$O$2</f>
        <v>milscm_2023_010</v>
      </c>
    </row>
    <row r="1230" spans="2:23" ht="18.75" customHeight="1">
      <c r="C1230" s="98"/>
      <c r="D1230" s="99"/>
      <c r="E1230" s="109"/>
      <c r="F1230" s="37"/>
      <c r="G1230" s="38"/>
      <c r="H1230" s="37"/>
      <c r="I1230" s="37"/>
      <c r="J1230" s="37"/>
      <c r="K1230" s="37"/>
      <c r="L1230" s="37"/>
      <c r="M1230" s="37"/>
      <c r="N1230" s="37"/>
      <c r="O1230" s="37"/>
      <c r="P1230" s="37"/>
      <c r="Q1230" s="37"/>
      <c r="R1230" s="98"/>
      <c r="S1230" s="99"/>
      <c r="T1230" s="101"/>
    </row>
    <row r="1231" spans="2:23" ht="18.75" customHeight="1">
      <c r="F1231" s="39"/>
      <c r="G1231" s="40"/>
    </row>
    <row r="1232" spans="2:23" ht="18.75" customHeight="1">
      <c r="C1232" s="96" t="s">
        <v>3229</v>
      </c>
      <c r="D1232" s="97"/>
      <c r="E1232" s="100" t="str">
        <f>エンティティ一覧!$O$2</f>
        <v>milscm_2023_010</v>
      </c>
      <c r="G1232" s="41"/>
    </row>
    <row r="1233" spans="2:23" ht="18.75" customHeight="1">
      <c r="C1233" s="98"/>
      <c r="D1233" s="99"/>
      <c r="E1233" s="101"/>
      <c r="F1233" s="37"/>
    </row>
    <row r="1235" spans="2:23" ht="18.75" customHeight="1" thickBot="1">
      <c r="B1235" s="42"/>
      <c r="C1235" s="42"/>
      <c r="D1235" s="42"/>
      <c r="E1235" s="42"/>
      <c r="F1235" s="42"/>
      <c r="G1235" s="42"/>
      <c r="H1235" s="42"/>
      <c r="I1235" s="42"/>
      <c r="J1235" s="42"/>
      <c r="K1235" s="42"/>
      <c r="L1235" s="42"/>
      <c r="M1235" s="42"/>
      <c r="N1235" s="42"/>
      <c r="O1235" s="42"/>
      <c r="P1235" s="42"/>
      <c r="Q1235" s="42"/>
      <c r="R1235" s="42"/>
      <c r="S1235" s="42"/>
      <c r="T1235" s="42"/>
      <c r="U1235" s="42"/>
    </row>
    <row r="1237" spans="2:23" ht="18.75" customHeight="1">
      <c r="B1237" s="43" t="s">
        <v>163</v>
      </c>
      <c r="C1237" s="51" t="s">
        <v>3475</v>
      </c>
      <c r="D1237" s="90"/>
      <c r="W1237" s="35" t="str">
        <f>"-- "&amp;B1237&amp;" : "&amp;C1237</f>
        <v>-- SQL_ID : 01_C3-16</v>
      </c>
    </row>
    <row r="1238" spans="2:23" ht="18.75" customHeight="1">
      <c r="B1238" s="43" t="s">
        <v>158</v>
      </c>
      <c r="C1238" s="102" t="str">
        <f>R1241&amp;"登録"</f>
        <v>バックアップ_DPCレセプト_診療行為レコード登録</v>
      </c>
      <c r="D1238" s="103"/>
      <c r="E1238" s="103"/>
      <c r="F1238" s="103"/>
      <c r="G1238" s="103"/>
      <c r="H1238" s="103"/>
      <c r="I1238" s="103"/>
      <c r="J1238" s="103"/>
      <c r="K1238" s="103"/>
      <c r="L1238" s="103"/>
      <c r="M1238" s="103"/>
      <c r="N1238" s="103"/>
      <c r="O1238" s="103"/>
      <c r="P1238" s="103"/>
      <c r="Q1238" s="103"/>
      <c r="R1238" s="103"/>
      <c r="S1238" s="103"/>
      <c r="T1238" s="103"/>
      <c r="U1238" s="104"/>
      <c r="W1238" s="35" t="str">
        <f>"-- "&amp;C1238</f>
        <v>-- バックアップ_DPCレセプト_診療行為レコード登録</v>
      </c>
    </row>
    <row r="1239" spans="2:23" ht="18.75" customHeight="1">
      <c r="B1239" s="43" t="s">
        <v>159</v>
      </c>
      <c r="C1239" s="105" t="str">
        <f>C1241&amp;"テーブルから組入れ条件の第一条件で絞り込んだ結果を"&amp;R1241&amp;"テーブルに格納する。"</f>
        <v>DPCレセプト_診療行為レコード_結合テーブルから組入れ条件の第一条件で絞り込んだ結果をバックアップ_DPCレセプト_診療行為レコードテーブルに格納する。</v>
      </c>
      <c r="D1239" s="106"/>
      <c r="E1239" s="106"/>
      <c r="F1239" s="106"/>
      <c r="G1239" s="106"/>
      <c r="H1239" s="106"/>
      <c r="I1239" s="106"/>
      <c r="J1239" s="106"/>
      <c r="K1239" s="106"/>
      <c r="L1239" s="106"/>
      <c r="M1239" s="106"/>
      <c r="N1239" s="106"/>
      <c r="O1239" s="106"/>
      <c r="P1239" s="106"/>
      <c r="Q1239" s="106"/>
      <c r="R1239" s="106"/>
      <c r="S1239" s="106"/>
      <c r="T1239" s="106"/>
      <c r="U1239" s="107"/>
      <c r="W1239" s="35" t="str">
        <f>"-- "&amp;C1239</f>
        <v>-- DPCレセプト_診療行為レコード_結合テーブルから組入れ条件の第一条件で絞り込んだ結果をバックアップ_DPCレセプト_診療行為レコードテーブルに格納する。</v>
      </c>
    </row>
    <row r="1241" spans="2:23" ht="18.75" customHeight="1">
      <c r="C1241" s="96" t="s">
        <v>3476</v>
      </c>
      <c r="D1241" s="97"/>
      <c r="E1241" s="108" t="s">
        <v>162</v>
      </c>
      <c r="H1241" s="36"/>
      <c r="I1241" s="36"/>
      <c r="J1241" s="36"/>
      <c r="K1241" s="36"/>
      <c r="L1241" s="36"/>
      <c r="M1241" s="36"/>
      <c r="N1241" s="36"/>
      <c r="O1241" s="36"/>
      <c r="P1241" s="36"/>
      <c r="Q1241" s="36"/>
      <c r="R1241" s="96" t="str">
        <f>"バックアップ_"&amp;SUBSTITUTE(C1241,"_結合","")</f>
        <v>バックアップ_DPCレセプト_診療行為レコード</v>
      </c>
      <c r="S1241" s="97"/>
      <c r="T1241" s="100" t="str">
        <f>エンティティ一覧!$O$2</f>
        <v>milscm_2023_010</v>
      </c>
    </row>
    <row r="1242" spans="2:23" ht="18.75" customHeight="1">
      <c r="C1242" s="98"/>
      <c r="D1242" s="99"/>
      <c r="E1242" s="109"/>
      <c r="F1242" s="37"/>
      <c r="G1242" s="38"/>
      <c r="H1242" s="37"/>
      <c r="I1242" s="37"/>
      <c r="J1242" s="37"/>
      <c r="K1242" s="37"/>
      <c r="L1242" s="37"/>
      <c r="M1242" s="37"/>
      <c r="N1242" s="37"/>
      <c r="O1242" s="37"/>
      <c r="P1242" s="37"/>
      <c r="Q1242" s="37"/>
      <c r="R1242" s="98"/>
      <c r="S1242" s="99"/>
      <c r="T1242" s="101"/>
    </row>
    <row r="1243" spans="2:23" ht="18.75" customHeight="1">
      <c r="F1243" s="39"/>
      <c r="G1243" s="40"/>
    </row>
    <row r="1244" spans="2:23" ht="18.75" customHeight="1">
      <c r="C1244" s="96" t="s">
        <v>3229</v>
      </c>
      <c r="D1244" s="97"/>
      <c r="E1244" s="100" t="str">
        <f>エンティティ一覧!$O$2</f>
        <v>milscm_2023_010</v>
      </c>
      <c r="G1244" s="41"/>
    </row>
    <row r="1245" spans="2:23" ht="18.75" customHeight="1">
      <c r="C1245" s="98"/>
      <c r="D1245" s="99"/>
      <c r="E1245" s="101"/>
      <c r="F1245" s="37"/>
    </row>
    <row r="1247" spans="2:23" ht="18.75" customHeight="1" thickBot="1">
      <c r="B1247" s="42"/>
      <c r="C1247" s="42"/>
      <c r="D1247" s="42"/>
      <c r="E1247" s="42"/>
      <c r="F1247" s="42"/>
      <c r="G1247" s="42"/>
      <c r="H1247" s="42"/>
      <c r="I1247" s="42"/>
      <c r="J1247" s="42"/>
      <c r="K1247" s="42"/>
      <c r="L1247" s="42"/>
      <c r="M1247" s="42"/>
      <c r="N1247" s="42"/>
      <c r="O1247" s="42"/>
      <c r="P1247" s="42"/>
      <c r="Q1247" s="42"/>
      <c r="R1247" s="42"/>
      <c r="S1247" s="42"/>
      <c r="T1247" s="42"/>
      <c r="U1247" s="42"/>
    </row>
    <row r="1249" spans="2:23" ht="18.75" customHeight="1">
      <c r="B1249" s="43" t="s">
        <v>163</v>
      </c>
      <c r="C1249" s="51" t="s">
        <v>3477</v>
      </c>
      <c r="D1249" s="90"/>
      <c r="W1249" s="35" t="str">
        <f>"-- "&amp;B1249&amp;" : "&amp;C1249</f>
        <v>-- SQL_ID : 01_C3-17</v>
      </c>
    </row>
    <row r="1250" spans="2:23" ht="18.75" customHeight="1">
      <c r="B1250" s="43" t="s">
        <v>158</v>
      </c>
      <c r="C1250" s="102" t="str">
        <f>R1253&amp;"登録"</f>
        <v>バックアップ_DPCレセプト_診療行為レコード_算定日情報登録</v>
      </c>
      <c r="D1250" s="103"/>
      <c r="E1250" s="103"/>
      <c r="F1250" s="103"/>
      <c r="G1250" s="103"/>
      <c r="H1250" s="103"/>
      <c r="I1250" s="103"/>
      <c r="J1250" s="103"/>
      <c r="K1250" s="103"/>
      <c r="L1250" s="103"/>
      <c r="M1250" s="103"/>
      <c r="N1250" s="103"/>
      <c r="O1250" s="103"/>
      <c r="P1250" s="103"/>
      <c r="Q1250" s="103"/>
      <c r="R1250" s="103"/>
      <c r="S1250" s="103"/>
      <c r="T1250" s="103"/>
      <c r="U1250" s="104"/>
      <c r="W1250" s="35" t="str">
        <f>"-- "&amp;C1250</f>
        <v>-- バックアップ_DPCレセプト_診療行為レコード_算定日情報登録</v>
      </c>
    </row>
    <row r="1251" spans="2:23" ht="18.75" customHeight="1">
      <c r="B1251" s="43" t="s">
        <v>159</v>
      </c>
      <c r="C1251" s="105" t="str">
        <f>C1253&amp;"テーブルから組入れ条件の第一条件で絞り込んだ結果を"&amp;R1253&amp;"テーブルに格納する。"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251" s="106"/>
      <c r="E1251" s="106"/>
      <c r="F1251" s="106"/>
      <c r="G1251" s="106"/>
      <c r="H1251" s="106"/>
      <c r="I1251" s="106"/>
      <c r="J1251" s="106"/>
      <c r="K1251" s="106"/>
      <c r="L1251" s="106"/>
      <c r="M1251" s="106"/>
      <c r="N1251" s="106"/>
      <c r="O1251" s="106"/>
      <c r="P1251" s="106"/>
      <c r="Q1251" s="106"/>
      <c r="R1251" s="106"/>
      <c r="S1251" s="106"/>
      <c r="T1251" s="106"/>
      <c r="U1251" s="107"/>
      <c r="W1251" s="35" t="str">
        <f>"-- "&amp;C1251</f>
        <v>-- DPCレセプト_診療行為レコード_算定日情報_結合テーブルから組入れ条件の第一条件で絞り込んだ結果をバックアップ_DPCレセプト_診療行為レコード_算定日情報テーブルに格納する。</v>
      </c>
    </row>
    <row r="1253" spans="2:23" ht="18.75" customHeight="1">
      <c r="C1253" s="96" t="s">
        <v>3478</v>
      </c>
      <c r="D1253" s="97"/>
      <c r="E1253" s="108" t="s">
        <v>162</v>
      </c>
      <c r="H1253" s="36"/>
      <c r="I1253" s="36"/>
      <c r="J1253" s="36"/>
      <c r="K1253" s="36"/>
      <c r="L1253" s="36"/>
      <c r="M1253" s="36"/>
      <c r="N1253" s="36"/>
      <c r="O1253" s="36"/>
      <c r="P1253" s="36"/>
      <c r="Q1253" s="36"/>
      <c r="R1253" s="114" t="str">
        <f>"バックアップ_"&amp;SUBSTITUTE(C1253,"_結合","")</f>
        <v>バックアップ_DPCレセプト_診療行為レコード_算定日情報</v>
      </c>
      <c r="S1253" s="115"/>
      <c r="T1253" s="100" t="str">
        <f>エンティティ一覧!$O$2</f>
        <v>milscm_2023_010</v>
      </c>
    </row>
    <row r="1254" spans="2:23" ht="18.75" customHeight="1">
      <c r="C1254" s="98"/>
      <c r="D1254" s="99"/>
      <c r="E1254" s="109"/>
      <c r="F1254" s="37"/>
      <c r="G1254" s="38"/>
      <c r="H1254" s="37"/>
      <c r="I1254" s="37"/>
      <c r="J1254" s="37"/>
      <c r="K1254" s="37"/>
      <c r="L1254" s="37"/>
      <c r="M1254" s="37"/>
      <c r="N1254" s="37"/>
      <c r="O1254" s="37"/>
      <c r="P1254" s="37"/>
      <c r="Q1254" s="37"/>
      <c r="R1254" s="116"/>
      <c r="S1254" s="117"/>
      <c r="T1254" s="101"/>
    </row>
    <row r="1255" spans="2:23" ht="18.75" customHeight="1">
      <c r="F1255" s="39"/>
      <c r="G1255" s="40"/>
    </row>
    <row r="1256" spans="2:23" ht="18.75" customHeight="1">
      <c r="C1256" s="96" t="s">
        <v>3229</v>
      </c>
      <c r="D1256" s="97"/>
      <c r="E1256" s="100" t="str">
        <f>エンティティ一覧!$O$2</f>
        <v>milscm_2023_010</v>
      </c>
      <c r="G1256" s="41"/>
    </row>
    <row r="1257" spans="2:23" ht="18.75" customHeight="1">
      <c r="C1257" s="98"/>
      <c r="D1257" s="99"/>
      <c r="E1257" s="101"/>
      <c r="F1257" s="37"/>
    </row>
    <row r="1259" spans="2:23" ht="18.75" customHeight="1" thickBot="1">
      <c r="B1259" s="42"/>
      <c r="C1259" s="42"/>
      <c r="D1259" s="42"/>
      <c r="E1259" s="42"/>
      <c r="F1259" s="42"/>
      <c r="G1259" s="42"/>
      <c r="H1259" s="42"/>
      <c r="I1259" s="42"/>
      <c r="J1259" s="42"/>
      <c r="K1259" s="42"/>
      <c r="L1259" s="42"/>
      <c r="M1259" s="42"/>
      <c r="N1259" s="42"/>
      <c r="O1259" s="42"/>
      <c r="P1259" s="42"/>
      <c r="Q1259" s="42"/>
      <c r="R1259" s="42"/>
      <c r="S1259" s="42"/>
      <c r="T1259" s="42"/>
      <c r="U1259" s="42"/>
    </row>
    <row r="1261" spans="2:23" ht="18.75" customHeight="1">
      <c r="B1261" s="43" t="s">
        <v>163</v>
      </c>
      <c r="C1261" s="51" t="s">
        <v>3479</v>
      </c>
      <c r="D1261" s="90"/>
      <c r="W1261" s="35" t="str">
        <f>"-- "&amp;B1261&amp;" : "&amp;C1261</f>
        <v>-- SQL_ID : 01_C3-18</v>
      </c>
    </row>
    <row r="1262" spans="2:23" ht="18.75" customHeight="1">
      <c r="B1262" s="43" t="s">
        <v>158</v>
      </c>
      <c r="C1262" s="102" t="str">
        <f>R1265&amp;"登録"</f>
        <v>バックアップ_DPCレセプト_医薬品レコード登録</v>
      </c>
      <c r="D1262" s="103"/>
      <c r="E1262" s="103"/>
      <c r="F1262" s="103"/>
      <c r="G1262" s="103"/>
      <c r="H1262" s="103"/>
      <c r="I1262" s="103"/>
      <c r="J1262" s="103"/>
      <c r="K1262" s="103"/>
      <c r="L1262" s="103"/>
      <c r="M1262" s="103"/>
      <c r="N1262" s="103"/>
      <c r="O1262" s="103"/>
      <c r="P1262" s="103"/>
      <c r="Q1262" s="103"/>
      <c r="R1262" s="103"/>
      <c r="S1262" s="103"/>
      <c r="T1262" s="103"/>
      <c r="U1262" s="104"/>
      <c r="W1262" s="35" t="str">
        <f>"-- "&amp;C1262</f>
        <v>-- バックアップ_DPCレセプト_医薬品レコード登録</v>
      </c>
    </row>
    <row r="1263" spans="2:23" ht="18.75" customHeight="1">
      <c r="B1263" s="43" t="s">
        <v>159</v>
      </c>
      <c r="C1263" s="105" t="str">
        <f>C1265&amp;"テーブルから組入れ条件の第一条件で絞り込んだ結果を"&amp;R1265&amp;"テーブルに格納する。"</f>
        <v>DPCレセプト_医薬品レコード_結合テーブルから組入れ条件の第一条件で絞り込んだ結果をバックアップ_DPCレセプト_医薬品レコードテーブルに格納する。</v>
      </c>
      <c r="D1263" s="106"/>
      <c r="E1263" s="106"/>
      <c r="F1263" s="106"/>
      <c r="G1263" s="106"/>
      <c r="H1263" s="106"/>
      <c r="I1263" s="106"/>
      <c r="J1263" s="106"/>
      <c r="K1263" s="106"/>
      <c r="L1263" s="106"/>
      <c r="M1263" s="106"/>
      <c r="N1263" s="106"/>
      <c r="O1263" s="106"/>
      <c r="P1263" s="106"/>
      <c r="Q1263" s="106"/>
      <c r="R1263" s="106"/>
      <c r="S1263" s="106"/>
      <c r="T1263" s="106"/>
      <c r="U1263" s="107"/>
      <c r="W1263" s="35" t="str">
        <f>"-- "&amp;C1263</f>
        <v>-- DPCレセプト_医薬品レコード_結合テーブルから組入れ条件の第一条件で絞り込んだ結果をバックアップ_DPCレセプト_医薬品レコードテーブルに格納する。</v>
      </c>
    </row>
    <row r="1265" spans="2:23" ht="18.75" customHeight="1">
      <c r="C1265" s="96" t="s">
        <v>3480</v>
      </c>
      <c r="D1265" s="97"/>
      <c r="E1265" s="108" t="s">
        <v>162</v>
      </c>
      <c r="H1265" s="36"/>
      <c r="I1265" s="36"/>
      <c r="J1265" s="36"/>
      <c r="K1265" s="36"/>
      <c r="L1265" s="36"/>
      <c r="M1265" s="36"/>
      <c r="N1265" s="36"/>
      <c r="O1265" s="36"/>
      <c r="P1265" s="36"/>
      <c r="Q1265" s="36"/>
      <c r="R1265" s="96" t="str">
        <f>"バックアップ_"&amp;SUBSTITUTE(C1265,"_結合","")</f>
        <v>バックアップ_DPCレセプト_医薬品レコード</v>
      </c>
      <c r="S1265" s="97"/>
      <c r="T1265" s="100" t="str">
        <f>エンティティ一覧!$O$2</f>
        <v>milscm_2023_010</v>
      </c>
    </row>
    <row r="1266" spans="2:23" ht="18.75" customHeight="1">
      <c r="C1266" s="98"/>
      <c r="D1266" s="99"/>
      <c r="E1266" s="109"/>
      <c r="F1266" s="37"/>
      <c r="G1266" s="38"/>
      <c r="H1266" s="37"/>
      <c r="I1266" s="37"/>
      <c r="J1266" s="37"/>
      <c r="K1266" s="37"/>
      <c r="L1266" s="37"/>
      <c r="M1266" s="37"/>
      <c r="N1266" s="37"/>
      <c r="O1266" s="37"/>
      <c r="P1266" s="37"/>
      <c r="Q1266" s="37"/>
      <c r="R1266" s="98"/>
      <c r="S1266" s="99"/>
      <c r="T1266" s="101"/>
    </row>
    <row r="1267" spans="2:23" ht="18.75" customHeight="1">
      <c r="F1267" s="39"/>
      <c r="G1267" s="40"/>
    </row>
    <row r="1268" spans="2:23" ht="18.75" customHeight="1">
      <c r="C1268" s="96" t="s">
        <v>3229</v>
      </c>
      <c r="D1268" s="97"/>
      <c r="E1268" s="100" t="str">
        <f>エンティティ一覧!$O$2</f>
        <v>milscm_2023_010</v>
      </c>
      <c r="G1268" s="41"/>
    </row>
    <row r="1269" spans="2:23" ht="18.75" customHeight="1">
      <c r="C1269" s="98"/>
      <c r="D1269" s="99"/>
      <c r="E1269" s="101"/>
      <c r="F1269" s="37"/>
    </row>
    <row r="1271" spans="2:23" ht="18.75" customHeight="1" thickBot="1">
      <c r="B1271" s="42"/>
      <c r="C1271" s="42"/>
      <c r="D1271" s="42"/>
      <c r="E1271" s="42"/>
      <c r="F1271" s="42"/>
      <c r="G1271" s="42"/>
      <c r="H1271" s="42"/>
      <c r="I1271" s="42"/>
      <c r="J1271" s="42"/>
      <c r="K1271" s="42"/>
      <c r="L1271" s="42"/>
      <c r="M1271" s="42"/>
      <c r="N1271" s="42"/>
      <c r="O1271" s="42"/>
      <c r="P1271" s="42"/>
      <c r="Q1271" s="42"/>
      <c r="R1271" s="42"/>
      <c r="S1271" s="42"/>
      <c r="T1271" s="42"/>
      <c r="U1271" s="42"/>
    </row>
    <row r="1273" spans="2:23" ht="18.75" customHeight="1">
      <c r="B1273" s="43" t="s">
        <v>163</v>
      </c>
      <c r="C1273" s="51" t="s">
        <v>3481</v>
      </c>
      <c r="D1273" s="90"/>
      <c r="W1273" s="35" t="str">
        <f>"-- "&amp;B1273&amp;" : "&amp;C1273</f>
        <v>-- SQL_ID : 01_C3-19</v>
      </c>
    </row>
    <row r="1274" spans="2:23" ht="18.75" customHeight="1">
      <c r="B1274" s="43" t="s">
        <v>158</v>
      </c>
      <c r="C1274" s="102" t="str">
        <f>R1277&amp;"登録"</f>
        <v>バックアップ_DPCレセプト_医薬品レコード_算定日情報登録</v>
      </c>
      <c r="D1274" s="103"/>
      <c r="E1274" s="103"/>
      <c r="F1274" s="103"/>
      <c r="G1274" s="103"/>
      <c r="H1274" s="103"/>
      <c r="I1274" s="103"/>
      <c r="J1274" s="103"/>
      <c r="K1274" s="103"/>
      <c r="L1274" s="103"/>
      <c r="M1274" s="103"/>
      <c r="N1274" s="103"/>
      <c r="O1274" s="103"/>
      <c r="P1274" s="103"/>
      <c r="Q1274" s="103"/>
      <c r="R1274" s="103"/>
      <c r="S1274" s="103"/>
      <c r="T1274" s="103"/>
      <c r="U1274" s="104"/>
      <c r="W1274" s="35" t="str">
        <f>"-- "&amp;C1274</f>
        <v>-- バックアップ_DPCレセプト_医薬品レコード_算定日情報登録</v>
      </c>
    </row>
    <row r="1275" spans="2:23" ht="18.75" customHeight="1">
      <c r="B1275" s="43" t="s">
        <v>159</v>
      </c>
      <c r="C1275" s="105" t="str">
        <f>C1277&amp;"テーブルから組入れ条件の第一条件で絞り込んだ結果を"&amp;R1277&amp;"テーブルに格納する。"</f>
        <v>DPCレセプト_医薬品レコード_算定日情報_結合テーブルから組入れ条件の第一条件で絞り込んだ結果をバックアップ_DPCレセプト_医薬品レコード_算定日情報テーブルに格納する。</v>
      </c>
      <c r="D1275" s="106"/>
      <c r="E1275" s="106"/>
      <c r="F1275" s="106"/>
      <c r="G1275" s="106"/>
      <c r="H1275" s="106"/>
      <c r="I1275" s="106"/>
      <c r="J1275" s="106"/>
      <c r="K1275" s="106"/>
      <c r="L1275" s="106"/>
      <c r="M1275" s="106"/>
      <c r="N1275" s="106"/>
      <c r="O1275" s="106"/>
      <c r="P1275" s="106"/>
      <c r="Q1275" s="106"/>
      <c r="R1275" s="106"/>
      <c r="S1275" s="106"/>
      <c r="T1275" s="106"/>
      <c r="U1275" s="107"/>
      <c r="W1275" s="35" t="str">
        <f>"-- "&amp;C1275</f>
        <v>-- DPCレセプト_医薬品レコード_算定日情報_結合テーブルから組入れ条件の第一条件で絞り込んだ結果をバックアップ_DPCレセプト_医薬品レコード_算定日情報テーブルに格納する。</v>
      </c>
    </row>
    <row r="1277" spans="2:23" ht="18.75" customHeight="1">
      <c r="C1277" s="96" t="s">
        <v>3482</v>
      </c>
      <c r="D1277" s="97"/>
      <c r="E1277" s="108" t="s">
        <v>162</v>
      </c>
      <c r="H1277" s="36"/>
      <c r="I1277" s="36"/>
      <c r="J1277" s="36"/>
      <c r="K1277" s="36"/>
      <c r="L1277" s="36"/>
      <c r="M1277" s="36"/>
      <c r="N1277" s="36"/>
      <c r="O1277" s="36"/>
      <c r="P1277" s="36"/>
      <c r="Q1277" s="36"/>
      <c r="R1277" s="114" t="str">
        <f>"バックアップ_"&amp;SUBSTITUTE(C1277,"_結合","")</f>
        <v>バックアップ_DPCレセプト_医薬品レコード_算定日情報</v>
      </c>
      <c r="S1277" s="115"/>
      <c r="T1277" s="100" t="str">
        <f>エンティティ一覧!$O$2</f>
        <v>milscm_2023_010</v>
      </c>
    </row>
    <row r="1278" spans="2:23" ht="18.75" customHeight="1">
      <c r="C1278" s="98"/>
      <c r="D1278" s="99"/>
      <c r="E1278" s="109"/>
      <c r="F1278" s="37"/>
      <c r="G1278" s="38"/>
      <c r="H1278" s="37"/>
      <c r="I1278" s="37"/>
      <c r="J1278" s="37"/>
      <c r="K1278" s="37"/>
      <c r="L1278" s="37"/>
      <c r="M1278" s="37"/>
      <c r="N1278" s="37"/>
      <c r="O1278" s="37"/>
      <c r="P1278" s="37"/>
      <c r="Q1278" s="37"/>
      <c r="R1278" s="116"/>
      <c r="S1278" s="117"/>
      <c r="T1278" s="101"/>
    </row>
    <row r="1279" spans="2:23" ht="18.75" customHeight="1">
      <c r="F1279" s="39"/>
      <c r="G1279" s="40"/>
    </row>
    <row r="1280" spans="2:23" ht="18.75" customHeight="1">
      <c r="C1280" s="96" t="s">
        <v>3229</v>
      </c>
      <c r="D1280" s="97"/>
      <c r="E1280" s="100" t="str">
        <f>エンティティ一覧!$O$2</f>
        <v>milscm_2023_010</v>
      </c>
      <c r="G1280" s="41"/>
    </row>
    <row r="1281" spans="2:23" ht="18.75" customHeight="1">
      <c r="C1281" s="98"/>
      <c r="D1281" s="99"/>
      <c r="E1281" s="101"/>
      <c r="F1281" s="37"/>
    </row>
    <row r="1283" spans="2:23" ht="18.75" customHeight="1" thickBot="1">
      <c r="B1283" s="42"/>
      <c r="C1283" s="42"/>
      <c r="D1283" s="42"/>
      <c r="E1283" s="42"/>
      <c r="F1283" s="42"/>
      <c r="G1283" s="42"/>
      <c r="H1283" s="42"/>
      <c r="I1283" s="42"/>
      <c r="J1283" s="42"/>
      <c r="K1283" s="42"/>
      <c r="L1283" s="42"/>
      <c r="M1283" s="42"/>
      <c r="N1283" s="42"/>
      <c r="O1283" s="42"/>
      <c r="P1283" s="42"/>
      <c r="Q1283" s="42"/>
      <c r="R1283" s="42"/>
      <c r="S1283" s="42"/>
      <c r="T1283" s="42"/>
      <c r="U1283" s="42"/>
    </row>
    <row r="1285" spans="2:23" ht="18.75" customHeight="1">
      <c r="B1285" s="43" t="s">
        <v>163</v>
      </c>
      <c r="C1285" s="51" t="s">
        <v>3483</v>
      </c>
      <c r="D1285" s="90"/>
      <c r="W1285" s="35" t="str">
        <f>"-- "&amp;B1285&amp;" : "&amp;C1285</f>
        <v>-- SQL_ID : 01_C3-24</v>
      </c>
    </row>
    <row r="1286" spans="2:23" ht="18.75" customHeight="1">
      <c r="B1286" s="43" t="s">
        <v>158</v>
      </c>
      <c r="C1286" s="102" t="str">
        <f>R1289&amp;"登録"</f>
        <v>バックアップ_DPCレセプト_臓器提供者レセプト情報レコード登録</v>
      </c>
      <c r="D1286" s="103"/>
      <c r="E1286" s="103"/>
      <c r="F1286" s="103"/>
      <c r="G1286" s="103"/>
      <c r="H1286" s="103"/>
      <c r="I1286" s="103"/>
      <c r="J1286" s="103"/>
      <c r="K1286" s="103"/>
      <c r="L1286" s="103"/>
      <c r="M1286" s="103"/>
      <c r="N1286" s="103"/>
      <c r="O1286" s="103"/>
      <c r="P1286" s="103"/>
      <c r="Q1286" s="103"/>
      <c r="R1286" s="103"/>
      <c r="S1286" s="103"/>
      <c r="T1286" s="103"/>
      <c r="U1286" s="104"/>
      <c r="W1286" s="35" t="str">
        <f>"-- "&amp;C1286</f>
        <v>-- バックアップ_DPCレセプト_臓器提供者レセプト情報レコード登録</v>
      </c>
    </row>
    <row r="1287" spans="2:23" ht="18.75" customHeight="1">
      <c r="B1287" s="43" t="s">
        <v>159</v>
      </c>
      <c r="C1287" s="105" t="str">
        <f>C1289&amp;"テーブルから組入れ条件の第一条件で絞り込んだ結果を"&amp;R1289&amp;"テーブルに格納する。"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287" s="106"/>
      <c r="E1287" s="106"/>
      <c r="F1287" s="106"/>
      <c r="G1287" s="106"/>
      <c r="H1287" s="106"/>
      <c r="I1287" s="106"/>
      <c r="J1287" s="106"/>
      <c r="K1287" s="106"/>
      <c r="L1287" s="106"/>
      <c r="M1287" s="106"/>
      <c r="N1287" s="106"/>
      <c r="O1287" s="106"/>
      <c r="P1287" s="106"/>
      <c r="Q1287" s="106"/>
      <c r="R1287" s="106"/>
      <c r="S1287" s="106"/>
      <c r="T1287" s="106"/>
      <c r="U1287" s="107"/>
      <c r="W1287" s="35" t="str">
        <f>"-- "&amp;C1287</f>
        <v>-- DPCレセプト_臓器提供者レセプト情報レコード_結合テーブルから組入れ条件の第一条件で絞り込んだ結果をバックアップ_DPCレセプト_臓器提供者レセプト情報レコードテーブルに格納する。</v>
      </c>
    </row>
    <row r="1289" spans="2:23" ht="18.75" customHeight="1">
      <c r="C1289" s="96" t="s">
        <v>3484</v>
      </c>
      <c r="D1289" s="97"/>
      <c r="E1289" s="108" t="s">
        <v>162</v>
      </c>
      <c r="H1289" s="36"/>
      <c r="I1289" s="36"/>
      <c r="J1289" s="36"/>
      <c r="K1289" s="36"/>
      <c r="L1289" s="36"/>
      <c r="M1289" s="36"/>
      <c r="N1289" s="36"/>
      <c r="O1289" s="36"/>
      <c r="P1289" s="36"/>
      <c r="Q1289" s="36"/>
      <c r="R1289" s="118" t="str">
        <f>"バックアップ_"&amp;SUBSTITUTE(C1289,"_結合","")</f>
        <v>バックアップ_DPCレセプト_臓器提供者レセプト情報レコード</v>
      </c>
      <c r="S1289" s="119"/>
      <c r="T1289" s="100" t="str">
        <f>エンティティ一覧!$O$2</f>
        <v>milscm_2023_010</v>
      </c>
    </row>
    <row r="1290" spans="2:23" ht="18.75" customHeight="1">
      <c r="C1290" s="98"/>
      <c r="D1290" s="99"/>
      <c r="E1290" s="109"/>
      <c r="F1290" s="37"/>
      <c r="G1290" s="38"/>
      <c r="H1290" s="37"/>
      <c r="I1290" s="37"/>
      <c r="J1290" s="37"/>
      <c r="K1290" s="37"/>
      <c r="L1290" s="37"/>
      <c r="M1290" s="37"/>
      <c r="N1290" s="37"/>
      <c r="O1290" s="37"/>
      <c r="P1290" s="37"/>
      <c r="Q1290" s="37"/>
      <c r="R1290" s="120"/>
      <c r="S1290" s="121"/>
      <c r="T1290" s="101"/>
    </row>
    <row r="1291" spans="2:23" ht="18.75" customHeight="1">
      <c r="F1291" s="39"/>
      <c r="G1291" s="40"/>
    </row>
    <row r="1292" spans="2:23" ht="18.75" customHeight="1">
      <c r="C1292" s="96" t="s">
        <v>3229</v>
      </c>
      <c r="D1292" s="97"/>
      <c r="E1292" s="100" t="str">
        <f>エンティティ一覧!$O$2</f>
        <v>milscm_2023_010</v>
      </c>
      <c r="G1292" s="41"/>
    </row>
    <row r="1293" spans="2:23" ht="18.75" customHeight="1">
      <c r="C1293" s="98"/>
      <c r="D1293" s="99"/>
      <c r="E1293" s="101"/>
      <c r="F1293" s="37"/>
    </row>
    <row r="1295" spans="2:23" ht="18.75" customHeight="1" thickBot="1">
      <c r="B1295" s="42"/>
      <c r="C1295" s="42"/>
      <c r="D1295" s="42"/>
      <c r="E1295" s="42"/>
      <c r="F1295" s="42"/>
      <c r="G1295" s="42"/>
      <c r="H1295" s="42"/>
      <c r="I1295" s="42"/>
      <c r="J1295" s="42"/>
      <c r="K1295" s="42"/>
      <c r="L1295" s="42"/>
      <c r="M1295" s="42"/>
      <c r="N1295" s="42"/>
      <c r="O1295" s="42"/>
      <c r="P1295" s="42"/>
      <c r="Q1295" s="42"/>
      <c r="R1295" s="42"/>
      <c r="S1295" s="42"/>
      <c r="T1295" s="42"/>
      <c r="U1295" s="42"/>
    </row>
    <row r="1297" spans="2:23" ht="18.75" customHeight="1">
      <c r="B1297" s="43" t="s">
        <v>163</v>
      </c>
      <c r="C1297" s="51" t="s">
        <v>3485</v>
      </c>
      <c r="D1297" s="90"/>
      <c r="W1297" s="35" t="str">
        <f>"-- "&amp;B1297&amp;" : "&amp;C1297</f>
        <v>-- SQL_ID : 01_C4-01</v>
      </c>
    </row>
    <row r="1298" spans="2:23" ht="18.75" customHeight="1">
      <c r="B1298" s="43" t="s">
        <v>158</v>
      </c>
      <c r="C1298" s="102" t="str">
        <f>R1301&amp;"登録"</f>
        <v>バックアップ_患者情報モジュール_患者情報登録</v>
      </c>
      <c r="D1298" s="103"/>
      <c r="E1298" s="103"/>
      <c r="F1298" s="103"/>
      <c r="G1298" s="103"/>
      <c r="H1298" s="103"/>
      <c r="I1298" s="103"/>
      <c r="J1298" s="103"/>
      <c r="K1298" s="103"/>
      <c r="L1298" s="103"/>
      <c r="M1298" s="103"/>
      <c r="N1298" s="103"/>
      <c r="O1298" s="103"/>
      <c r="P1298" s="103"/>
      <c r="Q1298" s="103"/>
      <c r="R1298" s="103"/>
      <c r="S1298" s="103"/>
      <c r="T1298" s="103"/>
      <c r="U1298" s="104"/>
      <c r="W1298" s="35" t="str">
        <f>"-- "&amp;C1298</f>
        <v>-- バックアップ_患者情報モジュール_患者情報登録</v>
      </c>
    </row>
    <row r="1299" spans="2:23" ht="18.75" customHeight="1">
      <c r="B1299" s="43" t="s">
        <v>159</v>
      </c>
      <c r="C1299" s="105" t="str">
        <f>C1301&amp;"テーブルから組入れ条件の第一条件で絞り込んだ結果を"&amp;R1301&amp;"テーブルに格納する。"</f>
        <v>患者情報モジュール_患者情報_結合テーブルから組入れ条件の第一条件で絞り込んだ結果をバックアップ_患者情報モジュール_患者情報テーブルに格納する。</v>
      </c>
      <c r="D1299" s="106"/>
      <c r="E1299" s="106"/>
      <c r="F1299" s="106"/>
      <c r="G1299" s="106"/>
      <c r="H1299" s="106"/>
      <c r="I1299" s="106"/>
      <c r="J1299" s="106"/>
      <c r="K1299" s="106"/>
      <c r="L1299" s="106"/>
      <c r="M1299" s="106"/>
      <c r="N1299" s="106"/>
      <c r="O1299" s="106"/>
      <c r="P1299" s="106"/>
      <c r="Q1299" s="106"/>
      <c r="R1299" s="106"/>
      <c r="S1299" s="106"/>
      <c r="T1299" s="106"/>
      <c r="U1299" s="107"/>
      <c r="W1299" s="35" t="str">
        <f>"-- "&amp;C1299</f>
        <v>-- 患者情報モジュール_患者情報_結合テーブルから組入れ条件の第一条件で絞り込んだ結果をバックアップ_患者情報モジュール_患者情報テーブルに格納する。</v>
      </c>
    </row>
    <row r="1301" spans="2:23" ht="18.75" customHeight="1">
      <c r="C1301" s="96" t="s">
        <v>3486</v>
      </c>
      <c r="D1301" s="97"/>
      <c r="E1301" s="108" t="s">
        <v>162</v>
      </c>
      <c r="H1301" s="36"/>
      <c r="I1301" s="36"/>
      <c r="J1301" s="36"/>
      <c r="K1301" s="36"/>
      <c r="L1301" s="36"/>
      <c r="M1301" s="36"/>
      <c r="N1301" s="36"/>
      <c r="O1301" s="36"/>
      <c r="P1301" s="36"/>
      <c r="Q1301" s="36"/>
      <c r="R1301" s="96" t="str">
        <f>"バックアップ_"&amp;SUBSTITUTE(C1301,"_結合","")</f>
        <v>バックアップ_患者情報モジュール_患者情報</v>
      </c>
      <c r="S1301" s="97"/>
      <c r="T1301" s="100" t="str">
        <f>エンティティ一覧!$O$2</f>
        <v>milscm_2023_010</v>
      </c>
    </row>
    <row r="1302" spans="2:23" ht="18.75" customHeight="1">
      <c r="C1302" s="98"/>
      <c r="D1302" s="99"/>
      <c r="E1302" s="109"/>
      <c r="F1302" s="37"/>
      <c r="G1302" s="38"/>
      <c r="H1302" s="37"/>
      <c r="I1302" s="37"/>
      <c r="J1302" s="37"/>
      <c r="K1302" s="37"/>
      <c r="L1302" s="37"/>
      <c r="M1302" s="37"/>
      <c r="N1302" s="37"/>
      <c r="O1302" s="37"/>
      <c r="P1302" s="37"/>
      <c r="Q1302" s="37"/>
      <c r="R1302" s="98"/>
      <c r="S1302" s="99"/>
      <c r="T1302" s="101"/>
    </row>
    <row r="1303" spans="2:23" ht="18.75" customHeight="1">
      <c r="F1303" s="39"/>
      <c r="G1303" s="40"/>
    </row>
    <row r="1304" spans="2:23" ht="18.75" customHeight="1">
      <c r="C1304" s="96" t="s">
        <v>3229</v>
      </c>
      <c r="D1304" s="97"/>
      <c r="E1304" s="100" t="str">
        <f>エンティティ一覧!$O$2</f>
        <v>milscm_2023_010</v>
      </c>
      <c r="G1304" s="41"/>
    </row>
    <row r="1305" spans="2:23" ht="18.75" customHeight="1">
      <c r="C1305" s="98"/>
      <c r="D1305" s="99"/>
      <c r="E1305" s="101"/>
      <c r="F1305" s="37"/>
    </row>
    <row r="1307" spans="2:23" ht="18.75" customHeight="1" thickBot="1">
      <c r="B1307" s="42"/>
      <c r="C1307" s="42"/>
      <c r="D1307" s="42"/>
      <c r="E1307" s="42"/>
      <c r="F1307" s="42"/>
      <c r="G1307" s="42"/>
      <c r="H1307" s="42"/>
      <c r="I1307" s="42"/>
      <c r="J1307" s="42"/>
      <c r="K1307" s="42"/>
      <c r="L1307" s="42"/>
      <c r="M1307" s="42"/>
      <c r="N1307" s="42"/>
      <c r="O1307" s="42"/>
      <c r="P1307" s="42"/>
      <c r="Q1307" s="42"/>
      <c r="R1307" s="42"/>
      <c r="S1307" s="42"/>
      <c r="T1307" s="42"/>
      <c r="U1307" s="42"/>
    </row>
    <row r="1309" spans="2:23" ht="18.75" customHeight="1">
      <c r="B1309" s="43" t="s">
        <v>163</v>
      </c>
      <c r="C1309" s="51" t="s">
        <v>3487</v>
      </c>
      <c r="D1309" s="90"/>
      <c r="W1309" s="35" t="str">
        <f>"-- "&amp;B1309&amp;" : "&amp;C1309</f>
        <v>-- SQL_ID : 01_C4-03</v>
      </c>
    </row>
    <row r="1310" spans="2:23" ht="18.75" customHeight="1">
      <c r="B1310" s="43" t="s">
        <v>158</v>
      </c>
      <c r="C1310" s="102" t="str">
        <f>R1313&amp;"登録"</f>
        <v>バックアップ_診断履歴情報モジュール_診断履歴情報レコード登録</v>
      </c>
      <c r="D1310" s="103"/>
      <c r="E1310" s="103"/>
      <c r="F1310" s="103"/>
      <c r="G1310" s="103"/>
      <c r="H1310" s="103"/>
      <c r="I1310" s="103"/>
      <c r="J1310" s="103"/>
      <c r="K1310" s="103"/>
      <c r="L1310" s="103"/>
      <c r="M1310" s="103"/>
      <c r="N1310" s="103"/>
      <c r="O1310" s="103"/>
      <c r="P1310" s="103"/>
      <c r="Q1310" s="103"/>
      <c r="R1310" s="103"/>
      <c r="S1310" s="103"/>
      <c r="T1310" s="103"/>
      <c r="U1310" s="104"/>
      <c r="W1310" s="35" t="str">
        <f>"-- "&amp;C1310</f>
        <v>-- バックアップ_診断履歴情報モジュール_診断履歴情報レコード登録</v>
      </c>
    </row>
    <row r="1311" spans="2:23" ht="18.75" customHeight="1">
      <c r="B1311" s="43" t="s">
        <v>159</v>
      </c>
      <c r="C1311" s="105" t="str">
        <f>C1313&amp;"テーブルから組入れ条件の第一条件で絞り込んだ結果を"&amp;R1313&amp;"テーブルに格納する。"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11" s="106"/>
      <c r="E1311" s="106"/>
      <c r="F1311" s="106"/>
      <c r="G1311" s="106"/>
      <c r="H1311" s="106"/>
      <c r="I1311" s="106"/>
      <c r="J1311" s="106"/>
      <c r="K1311" s="106"/>
      <c r="L1311" s="106"/>
      <c r="M1311" s="106"/>
      <c r="N1311" s="106"/>
      <c r="O1311" s="106"/>
      <c r="P1311" s="106"/>
      <c r="Q1311" s="106"/>
      <c r="R1311" s="106"/>
      <c r="S1311" s="106"/>
      <c r="T1311" s="106"/>
      <c r="U1311" s="107"/>
      <c r="W1311" s="35" t="str">
        <f>"-- "&amp;C1311</f>
        <v>-- 診断履歴情報モジュール_診断履歴情報レコード_結合テーブルから組入れ条件の第一条件で絞り込んだ結果をバックアップ_診断履歴情報モジュール_診断履歴情報レコードテーブルに格納する。</v>
      </c>
    </row>
    <row r="1313" spans="2:23" ht="18.75" customHeight="1">
      <c r="C1313" s="96" t="s">
        <v>3488</v>
      </c>
      <c r="D1313" s="97"/>
      <c r="E1313" s="108" t="s">
        <v>162</v>
      </c>
      <c r="H1313" s="36"/>
      <c r="I1313" s="36"/>
      <c r="J1313" s="36"/>
      <c r="K1313" s="36"/>
      <c r="L1313" s="36"/>
      <c r="M1313" s="36"/>
      <c r="N1313" s="36"/>
      <c r="O1313" s="36"/>
      <c r="P1313" s="36"/>
      <c r="Q1313" s="36"/>
      <c r="R1313" s="118" t="str">
        <f>"バックアップ_"&amp;SUBSTITUTE(C1313,"_結合","")</f>
        <v>バックアップ_診断履歴情報モジュール_診断履歴情報レコード</v>
      </c>
      <c r="S1313" s="119"/>
      <c r="T1313" s="100" t="str">
        <f>エンティティ一覧!$O$2</f>
        <v>milscm_2023_010</v>
      </c>
    </row>
    <row r="1314" spans="2:23" ht="18.75" customHeight="1">
      <c r="C1314" s="98"/>
      <c r="D1314" s="99"/>
      <c r="E1314" s="109"/>
      <c r="F1314" s="37"/>
      <c r="G1314" s="38"/>
      <c r="H1314" s="37"/>
      <c r="I1314" s="37"/>
      <c r="J1314" s="37"/>
      <c r="K1314" s="37"/>
      <c r="L1314" s="37"/>
      <c r="M1314" s="37"/>
      <c r="N1314" s="37"/>
      <c r="O1314" s="37"/>
      <c r="P1314" s="37"/>
      <c r="Q1314" s="37"/>
      <c r="R1314" s="120"/>
      <c r="S1314" s="121"/>
      <c r="T1314" s="101"/>
    </row>
    <row r="1315" spans="2:23" ht="18.75" customHeight="1">
      <c r="F1315" s="39"/>
      <c r="G1315" s="40"/>
    </row>
    <row r="1316" spans="2:23" ht="18.75" customHeight="1">
      <c r="C1316" s="96" t="s">
        <v>3229</v>
      </c>
      <c r="D1316" s="97"/>
      <c r="E1316" s="100" t="str">
        <f>エンティティ一覧!$O$2</f>
        <v>milscm_2023_010</v>
      </c>
      <c r="G1316" s="41"/>
    </row>
    <row r="1317" spans="2:23" ht="18.75" customHeight="1">
      <c r="C1317" s="98"/>
      <c r="D1317" s="99"/>
      <c r="E1317" s="101"/>
      <c r="F1317" s="37"/>
    </row>
    <row r="1319" spans="2:23" ht="18.75" customHeight="1" thickBot="1">
      <c r="B1319" s="42"/>
      <c r="C1319" s="42"/>
      <c r="D1319" s="42"/>
      <c r="E1319" s="42"/>
      <c r="F1319" s="42"/>
      <c r="G1319" s="42"/>
      <c r="H1319" s="42"/>
      <c r="I1319" s="42"/>
      <c r="J1319" s="42"/>
      <c r="K1319" s="42"/>
      <c r="L1319" s="42"/>
      <c r="M1319" s="42"/>
      <c r="N1319" s="42"/>
      <c r="O1319" s="42"/>
      <c r="P1319" s="42"/>
      <c r="Q1319" s="42"/>
      <c r="R1319" s="42"/>
      <c r="S1319" s="42"/>
      <c r="T1319" s="42"/>
      <c r="U1319" s="42"/>
    </row>
    <row r="1321" spans="2:23" ht="18.75" customHeight="1">
      <c r="B1321" s="43" t="s">
        <v>163</v>
      </c>
      <c r="C1321" s="51" t="s">
        <v>3489</v>
      </c>
      <c r="D1321" s="90"/>
      <c r="W1321" s="35" t="str">
        <f>"-- "&amp;B1321&amp;" : "&amp;C1321</f>
        <v>-- SQL_ID : 01_C4-04</v>
      </c>
    </row>
    <row r="1322" spans="2:23" ht="18.75" customHeight="1">
      <c r="B1322" s="43" t="s">
        <v>158</v>
      </c>
      <c r="C1322" s="102" t="str">
        <f>R1325&amp;"登録"</f>
        <v>バックアップ_診断履歴情報モジュール_診断病名レコード登録</v>
      </c>
      <c r="D1322" s="103"/>
      <c r="E1322" s="103"/>
      <c r="F1322" s="103"/>
      <c r="G1322" s="103"/>
      <c r="H1322" s="103"/>
      <c r="I1322" s="103"/>
      <c r="J1322" s="103"/>
      <c r="K1322" s="103"/>
      <c r="L1322" s="103"/>
      <c r="M1322" s="103"/>
      <c r="N1322" s="103"/>
      <c r="O1322" s="103"/>
      <c r="P1322" s="103"/>
      <c r="Q1322" s="103"/>
      <c r="R1322" s="103"/>
      <c r="S1322" s="103"/>
      <c r="T1322" s="103"/>
      <c r="U1322" s="104"/>
      <c r="W1322" s="35" t="str">
        <f>"-- "&amp;C1322</f>
        <v>-- バックアップ_診断履歴情報モジュール_診断病名レコード登録</v>
      </c>
    </row>
    <row r="1323" spans="2:23" ht="18.75" customHeight="1">
      <c r="B1323" s="43" t="s">
        <v>159</v>
      </c>
      <c r="C1323" s="105" t="str">
        <f>C1325&amp;"テーブルから組入れ条件の第一条件で絞り込んだ結果を"&amp;R1325&amp;"テーブルに格納する。"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23" s="106"/>
      <c r="E1323" s="106"/>
      <c r="F1323" s="106"/>
      <c r="G1323" s="106"/>
      <c r="H1323" s="106"/>
      <c r="I1323" s="106"/>
      <c r="J1323" s="106"/>
      <c r="K1323" s="106"/>
      <c r="L1323" s="106"/>
      <c r="M1323" s="106"/>
      <c r="N1323" s="106"/>
      <c r="O1323" s="106"/>
      <c r="P1323" s="106"/>
      <c r="Q1323" s="106"/>
      <c r="R1323" s="106"/>
      <c r="S1323" s="106"/>
      <c r="T1323" s="106"/>
      <c r="U1323" s="107"/>
      <c r="W1323" s="35" t="str">
        <f>"-- "&amp;C1323</f>
        <v>-- 診断履歴情報モジュール_診断病名レコード_結合テーブルから組入れ条件の第一条件で絞り込んだ結果をバックアップ_診断履歴情報モジュール_診断病名レコードテーブルに格納する。</v>
      </c>
    </row>
    <row r="1325" spans="2:23" ht="18.75" customHeight="1">
      <c r="C1325" s="96" t="s">
        <v>3490</v>
      </c>
      <c r="D1325" s="97"/>
      <c r="E1325" s="108" t="s">
        <v>162</v>
      </c>
      <c r="H1325" s="36"/>
      <c r="I1325" s="36"/>
      <c r="J1325" s="36"/>
      <c r="K1325" s="36"/>
      <c r="L1325" s="36"/>
      <c r="M1325" s="36"/>
      <c r="N1325" s="36"/>
      <c r="O1325" s="36"/>
      <c r="P1325" s="36"/>
      <c r="Q1325" s="36"/>
      <c r="R1325" s="118" t="str">
        <f>"バックアップ_"&amp;SUBSTITUTE(C1325,"_結合","")</f>
        <v>バックアップ_診断履歴情報モジュール_診断病名レコード</v>
      </c>
      <c r="S1325" s="119"/>
      <c r="T1325" s="100" t="str">
        <f>エンティティ一覧!$O$2</f>
        <v>milscm_2023_010</v>
      </c>
    </row>
    <row r="1326" spans="2:23" ht="18.75" customHeight="1">
      <c r="C1326" s="98"/>
      <c r="D1326" s="99"/>
      <c r="E1326" s="109"/>
      <c r="F1326" s="37"/>
      <c r="G1326" s="38"/>
      <c r="H1326" s="37"/>
      <c r="I1326" s="37"/>
      <c r="J1326" s="37"/>
      <c r="K1326" s="37"/>
      <c r="L1326" s="37"/>
      <c r="M1326" s="37"/>
      <c r="N1326" s="37"/>
      <c r="O1326" s="37"/>
      <c r="P1326" s="37"/>
      <c r="Q1326" s="37"/>
      <c r="R1326" s="120"/>
      <c r="S1326" s="121"/>
      <c r="T1326" s="101"/>
    </row>
    <row r="1327" spans="2:23" ht="18.75" customHeight="1">
      <c r="F1327" s="39"/>
      <c r="G1327" s="40"/>
    </row>
    <row r="1328" spans="2:23" ht="18.75" customHeight="1">
      <c r="C1328" s="96" t="s">
        <v>3229</v>
      </c>
      <c r="D1328" s="97"/>
      <c r="E1328" s="100" t="str">
        <f>エンティティ一覧!$O$2</f>
        <v>milscm_2023_010</v>
      </c>
      <c r="G1328" s="41"/>
    </row>
    <row r="1329" spans="2:23" ht="18.75" customHeight="1">
      <c r="C1329" s="98"/>
      <c r="D1329" s="99"/>
      <c r="E1329" s="101"/>
      <c r="F1329" s="37"/>
    </row>
    <row r="1331" spans="2:23" ht="18.75" customHeight="1" thickBot="1">
      <c r="B1331" s="42"/>
      <c r="C1331" s="42"/>
      <c r="D1331" s="42"/>
      <c r="E1331" s="42"/>
      <c r="F1331" s="42"/>
      <c r="G1331" s="42"/>
      <c r="H1331" s="42"/>
      <c r="I1331" s="42"/>
      <c r="J1331" s="42"/>
      <c r="K1331" s="42"/>
      <c r="L1331" s="42"/>
      <c r="M1331" s="42"/>
      <c r="N1331" s="42"/>
      <c r="O1331" s="42"/>
      <c r="P1331" s="42"/>
      <c r="Q1331" s="42"/>
      <c r="R1331" s="42"/>
      <c r="S1331" s="42"/>
      <c r="T1331" s="42"/>
      <c r="U1331" s="42"/>
    </row>
    <row r="1333" spans="2:23" ht="18.75" customHeight="1">
      <c r="B1333" s="43" t="s">
        <v>163</v>
      </c>
      <c r="C1333" s="51" t="s">
        <v>3491</v>
      </c>
      <c r="D1333" s="90"/>
      <c r="W1333" s="35" t="str">
        <f>"-- "&amp;B1333&amp;" : "&amp;C1333</f>
        <v>-- SQL_ID : 01_C4-05</v>
      </c>
    </row>
    <row r="1334" spans="2:23" ht="18.75" customHeight="1">
      <c r="B1334" s="43" t="s">
        <v>158</v>
      </c>
      <c r="C1334" s="102" t="str">
        <f>R1337&amp;"登録"</f>
        <v>バックアップ_診断履歴情報モジュール_診断分類レコード登録</v>
      </c>
      <c r="D1334" s="103"/>
      <c r="E1334" s="103"/>
      <c r="F1334" s="103"/>
      <c r="G1334" s="103"/>
      <c r="H1334" s="103"/>
      <c r="I1334" s="103"/>
      <c r="J1334" s="103"/>
      <c r="K1334" s="103"/>
      <c r="L1334" s="103"/>
      <c r="M1334" s="103"/>
      <c r="N1334" s="103"/>
      <c r="O1334" s="103"/>
      <c r="P1334" s="103"/>
      <c r="Q1334" s="103"/>
      <c r="R1334" s="103"/>
      <c r="S1334" s="103"/>
      <c r="T1334" s="103"/>
      <c r="U1334" s="104"/>
      <c r="W1334" s="35" t="str">
        <f>"-- "&amp;C1334</f>
        <v>-- バックアップ_診断履歴情報モジュール_診断分類レコード登録</v>
      </c>
    </row>
    <row r="1335" spans="2:23" ht="18.75" customHeight="1">
      <c r="B1335" s="43" t="s">
        <v>159</v>
      </c>
      <c r="C1335" s="105" t="str">
        <f>C1337&amp;"テーブルから組入れ条件の第一条件で絞り込んだ結果を"&amp;R1337&amp;"テーブルに格納する。"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335" s="106"/>
      <c r="E1335" s="106"/>
      <c r="F1335" s="106"/>
      <c r="G1335" s="106"/>
      <c r="H1335" s="106"/>
      <c r="I1335" s="106"/>
      <c r="J1335" s="106"/>
      <c r="K1335" s="106"/>
      <c r="L1335" s="106"/>
      <c r="M1335" s="106"/>
      <c r="N1335" s="106"/>
      <c r="O1335" s="106"/>
      <c r="P1335" s="106"/>
      <c r="Q1335" s="106"/>
      <c r="R1335" s="106"/>
      <c r="S1335" s="106"/>
      <c r="T1335" s="106"/>
      <c r="U1335" s="107"/>
      <c r="W1335" s="35" t="str">
        <f>"-- "&amp;C1335</f>
        <v>-- 診断履歴情報モジュール_診断分類レコード_結合テーブルから組入れ条件の第一条件で絞り込んだ結果をバックアップ_診断履歴情報モジュール_診断分類レコードテーブルに格納する。</v>
      </c>
    </row>
    <row r="1337" spans="2:23" ht="18.75" customHeight="1">
      <c r="C1337" s="96" t="s">
        <v>3492</v>
      </c>
      <c r="D1337" s="97"/>
      <c r="E1337" s="108" t="s">
        <v>162</v>
      </c>
      <c r="H1337" s="36"/>
      <c r="I1337" s="36"/>
      <c r="J1337" s="36"/>
      <c r="K1337" s="36"/>
      <c r="L1337" s="36"/>
      <c r="M1337" s="36"/>
      <c r="N1337" s="36"/>
      <c r="O1337" s="36"/>
      <c r="P1337" s="36"/>
      <c r="Q1337" s="36"/>
      <c r="R1337" s="118" t="str">
        <f>"バックアップ_"&amp;SUBSTITUTE(C1337,"_結合","")</f>
        <v>バックアップ_診断履歴情報モジュール_診断分類レコード</v>
      </c>
      <c r="S1337" s="119"/>
      <c r="T1337" s="100" t="str">
        <f>エンティティ一覧!$O$2</f>
        <v>milscm_2023_010</v>
      </c>
    </row>
    <row r="1338" spans="2:23" ht="18.75" customHeight="1">
      <c r="C1338" s="98"/>
      <c r="D1338" s="99"/>
      <c r="E1338" s="109"/>
      <c r="F1338" s="37"/>
      <c r="G1338" s="38"/>
      <c r="H1338" s="37"/>
      <c r="I1338" s="37"/>
      <c r="J1338" s="37"/>
      <c r="K1338" s="37"/>
      <c r="L1338" s="37"/>
      <c r="M1338" s="37"/>
      <c r="N1338" s="37"/>
      <c r="O1338" s="37"/>
      <c r="P1338" s="37"/>
      <c r="Q1338" s="37"/>
      <c r="R1338" s="120"/>
      <c r="S1338" s="121"/>
      <c r="T1338" s="101"/>
    </row>
    <row r="1339" spans="2:23" ht="18.75" customHeight="1">
      <c r="F1339" s="39"/>
      <c r="G1339" s="40"/>
    </row>
    <row r="1340" spans="2:23" ht="18.75" customHeight="1">
      <c r="C1340" s="96" t="s">
        <v>3229</v>
      </c>
      <c r="D1340" s="97"/>
      <c r="E1340" s="100" t="str">
        <f>エンティティ一覧!$O$2</f>
        <v>milscm_2023_010</v>
      </c>
      <c r="G1340" s="41"/>
    </row>
    <row r="1341" spans="2:23" ht="18.75" customHeight="1">
      <c r="C1341" s="98"/>
      <c r="D1341" s="99"/>
      <c r="E1341" s="101"/>
      <c r="F1341" s="37"/>
    </row>
    <row r="1343" spans="2:23" ht="18.75" customHeight="1" thickBot="1">
      <c r="B1343" s="42"/>
      <c r="C1343" s="42"/>
      <c r="D1343" s="42"/>
      <c r="E1343" s="42"/>
      <c r="F1343" s="42"/>
      <c r="G1343" s="42"/>
      <c r="H1343" s="42"/>
      <c r="I1343" s="42"/>
      <c r="J1343" s="42"/>
      <c r="K1343" s="42"/>
      <c r="L1343" s="42"/>
      <c r="M1343" s="42"/>
      <c r="N1343" s="42"/>
      <c r="O1343" s="42"/>
      <c r="P1343" s="42"/>
      <c r="Q1343" s="42"/>
      <c r="R1343" s="42"/>
      <c r="S1343" s="42"/>
      <c r="T1343" s="42"/>
      <c r="U1343" s="42"/>
    </row>
    <row r="1345" spans="2:23" ht="18.75" customHeight="1">
      <c r="B1345" s="43" t="s">
        <v>163</v>
      </c>
      <c r="C1345" s="51" t="s">
        <v>3493</v>
      </c>
      <c r="D1345" s="90"/>
      <c r="W1345" s="35" t="str">
        <f>"-- "&amp;B1345&amp;" : "&amp;C1345</f>
        <v>-- SQL_ID : 01_C4-06</v>
      </c>
    </row>
    <row r="1346" spans="2:23" ht="18.75" customHeight="1">
      <c r="B1346" s="43" t="s">
        <v>158</v>
      </c>
      <c r="C1346" s="102" t="str">
        <f>R1349&amp;"登録"</f>
        <v>バックアップ_経過記録情報モジュール_経過記録情報レコード登録</v>
      </c>
      <c r="D1346" s="103"/>
      <c r="E1346" s="103"/>
      <c r="F1346" s="103"/>
      <c r="G1346" s="103"/>
      <c r="H1346" s="103"/>
      <c r="I1346" s="103"/>
      <c r="J1346" s="103"/>
      <c r="K1346" s="103"/>
      <c r="L1346" s="103"/>
      <c r="M1346" s="103"/>
      <c r="N1346" s="103"/>
      <c r="O1346" s="103"/>
      <c r="P1346" s="103"/>
      <c r="Q1346" s="103"/>
      <c r="R1346" s="103"/>
      <c r="S1346" s="103"/>
      <c r="T1346" s="103"/>
      <c r="U1346" s="104"/>
      <c r="W1346" s="35" t="str">
        <f>"-- "&amp;C1346</f>
        <v>-- バックアップ_経過記録情報モジュール_経過記録情報レコード登録</v>
      </c>
    </row>
    <row r="1347" spans="2:23" ht="18.75" customHeight="1">
      <c r="B1347" s="43" t="s">
        <v>159</v>
      </c>
      <c r="C1347" s="105" t="str">
        <f>C1349&amp;"テーブルから組入れ条件の第一条件で絞り込んだ結果を"&amp;R1349&amp;"テーブルに格納する。"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347" s="106"/>
      <c r="E1347" s="106"/>
      <c r="F1347" s="106"/>
      <c r="G1347" s="106"/>
      <c r="H1347" s="106"/>
      <c r="I1347" s="106"/>
      <c r="J1347" s="106"/>
      <c r="K1347" s="106"/>
      <c r="L1347" s="106"/>
      <c r="M1347" s="106"/>
      <c r="N1347" s="106"/>
      <c r="O1347" s="106"/>
      <c r="P1347" s="106"/>
      <c r="Q1347" s="106"/>
      <c r="R1347" s="106"/>
      <c r="S1347" s="106"/>
      <c r="T1347" s="106"/>
      <c r="U1347" s="107"/>
      <c r="W1347" s="35" t="str">
        <f>"-- "&amp;C1347</f>
        <v>-- 経過記録情報モジュール_経過記録情報レコード_結合テーブルから組入れ条件の第一条件で絞り込んだ結果をバックアップ_経過記録情報モジュール_経過記録情報レコードテーブルに格納する。</v>
      </c>
    </row>
    <row r="1349" spans="2:23" ht="18.75" customHeight="1">
      <c r="C1349" s="96" t="s">
        <v>3494</v>
      </c>
      <c r="D1349" s="97"/>
      <c r="E1349" s="108" t="s">
        <v>162</v>
      </c>
      <c r="H1349" s="36"/>
      <c r="I1349" s="36"/>
      <c r="J1349" s="36"/>
      <c r="K1349" s="36"/>
      <c r="L1349" s="36"/>
      <c r="M1349" s="36"/>
      <c r="N1349" s="36"/>
      <c r="O1349" s="36"/>
      <c r="P1349" s="36"/>
      <c r="Q1349" s="36"/>
      <c r="R1349" s="118" t="str">
        <f>"バックアップ_"&amp;SUBSTITUTE(C1349,"_結合","")</f>
        <v>バックアップ_経過記録情報モジュール_経過記録情報レコード</v>
      </c>
      <c r="S1349" s="119"/>
      <c r="T1349" s="100" t="str">
        <f>エンティティ一覧!$O$2</f>
        <v>milscm_2023_010</v>
      </c>
    </row>
    <row r="1350" spans="2:23" ht="18.75" customHeight="1">
      <c r="C1350" s="98"/>
      <c r="D1350" s="99"/>
      <c r="E1350" s="109"/>
      <c r="F1350" s="37"/>
      <c r="G1350" s="38"/>
      <c r="H1350" s="37"/>
      <c r="I1350" s="37"/>
      <c r="J1350" s="37"/>
      <c r="K1350" s="37"/>
      <c r="L1350" s="37"/>
      <c r="M1350" s="37"/>
      <c r="N1350" s="37"/>
      <c r="O1350" s="37"/>
      <c r="P1350" s="37"/>
      <c r="Q1350" s="37"/>
      <c r="R1350" s="120"/>
      <c r="S1350" s="121"/>
      <c r="T1350" s="101"/>
    </row>
    <row r="1351" spans="2:23" ht="18.75" customHeight="1">
      <c r="F1351" s="39"/>
      <c r="G1351" s="40"/>
    </row>
    <row r="1352" spans="2:23" ht="18.75" customHeight="1">
      <c r="C1352" s="96" t="s">
        <v>3229</v>
      </c>
      <c r="D1352" s="97"/>
      <c r="E1352" s="100" t="str">
        <f>エンティティ一覧!$O$2</f>
        <v>milscm_2023_010</v>
      </c>
      <c r="G1352" s="41"/>
    </row>
    <row r="1353" spans="2:23" ht="18.75" customHeight="1">
      <c r="C1353" s="98"/>
      <c r="D1353" s="99"/>
      <c r="E1353" s="101"/>
      <c r="F1353" s="37"/>
    </row>
    <row r="1355" spans="2:23" ht="18.75" customHeight="1" thickBot="1">
      <c r="B1355" s="42"/>
      <c r="C1355" s="42"/>
      <c r="D1355" s="42"/>
      <c r="E1355" s="42"/>
      <c r="F1355" s="42"/>
      <c r="G1355" s="42"/>
      <c r="H1355" s="42"/>
      <c r="I1355" s="42"/>
      <c r="J1355" s="42"/>
      <c r="K1355" s="42"/>
      <c r="L1355" s="42"/>
      <c r="M1355" s="42"/>
      <c r="N1355" s="42"/>
      <c r="O1355" s="42"/>
      <c r="P1355" s="42"/>
      <c r="Q1355" s="42"/>
      <c r="R1355" s="42"/>
      <c r="S1355" s="42"/>
      <c r="T1355" s="42"/>
      <c r="U1355" s="42"/>
    </row>
    <row r="1357" spans="2:23" ht="18.75" customHeight="1">
      <c r="B1357" s="43" t="s">
        <v>163</v>
      </c>
      <c r="C1357" s="51" t="s">
        <v>3495</v>
      </c>
      <c r="D1357" s="90"/>
      <c r="W1357" s="35" t="str">
        <f>"-- "&amp;B1357&amp;" : "&amp;C1357</f>
        <v>-- SQL_ID : 01_C4-07</v>
      </c>
    </row>
    <row r="1358" spans="2:23" ht="18.75" customHeight="1">
      <c r="B1358" s="43" t="s">
        <v>158</v>
      </c>
      <c r="C1358" s="102" t="str">
        <f>R1361&amp;"登録"</f>
        <v>バックアップ_経過記録情報モジュール_プロブレムレコード登録</v>
      </c>
      <c r="D1358" s="103"/>
      <c r="E1358" s="103"/>
      <c r="F1358" s="103"/>
      <c r="G1358" s="103"/>
      <c r="H1358" s="103"/>
      <c r="I1358" s="103"/>
      <c r="J1358" s="103"/>
      <c r="K1358" s="103"/>
      <c r="L1358" s="103"/>
      <c r="M1358" s="103"/>
      <c r="N1358" s="103"/>
      <c r="O1358" s="103"/>
      <c r="P1358" s="103"/>
      <c r="Q1358" s="103"/>
      <c r="R1358" s="103"/>
      <c r="S1358" s="103"/>
      <c r="T1358" s="103"/>
      <c r="U1358" s="104"/>
      <c r="W1358" s="35" t="str">
        <f>"-- "&amp;C1358</f>
        <v>-- バックアップ_経過記録情報モジュール_プロブレムレコード登録</v>
      </c>
    </row>
    <row r="1359" spans="2:23" ht="18.75" customHeight="1">
      <c r="B1359" s="43" t="s">
        <v>159</v>
      </c>
      <c r="C1359" s="105" t="str">
        <f>C1361&amp;"テーブルから組入れ条件の第一条件で絞り込んだ結果を"&amp;R1361&amp;"テーブルに格納する。"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359" s="106"/>
      <c r="E1359" s="106"/>
      <c r="F1359" s="106"/>
      <c r="G1359" s="106"/>
      <c r="H1359" s="106"/>
      <c r="I1359" s="106"/>
      <c r="J1359" s="106"/>
      <c r="K1359" s="106"/>
      <c r="L1359" s="106"/>
      <c r="M1359" s="106"/>
      <c r="N1359" s="106"/>
      <c r="O1359" s="106"/>
      <c r="P1359" s="106"/>
      <c r="Q1359" s="106"/>
      <c r="R1359" s="106"/>
      <c r="S1359" s="106"/>
      <c r="T1359" s="106"/>
      <c r="U1359" s="107"/>
      <c r="W1359" s="35" t="str">
        <f>"-- "&amp;C1359</f>
        <v>-- 経過記録情報モジュール_プロブレムレコード_結合テーブルから組入れ条件の第一条件で絞り込んだ結果をバックアップ_経過記録情報モジュール_プロブレムレコードテーブルに格納する。</v>
      </c>
    </row>
    <row r="1361" spans="2:23" ht="18.75" customHeight="1">
      <c r="C1361" s="96" t="s">
        <v>3496</v>
      </c>
      <c r="D1361" s="97"/>
      <c r="E1361" s="108" t="s">
        <v>162</v>
      </c>
      <c r="H1361" s="36"/>
      <c r="I1361" s="36"/>
      <c r="J1361" s="36"/>
      <c r="K1361" s="36"/>
      <c r="L1361" s="36"/>
      <c r="M1361" s="36"/>
      <c r="N1361" s="36"/>
      <c r="O1361" s="36"/>
      <c r="P1361" s="36"/>
      <c r="Q1361" s="36"/>
      <c r="R1361" s="118" t="str">
        <f>"バックアップ_"&amp;SUBSTITUTE(C1361,"_結合","")</f>
        <v>バックアップ_経過記録情報モジュール_プロブレムレコード</v>
      </c>
      <c r="S1361" s="119"/>
      <c r="T1361" s="100" t="str">
        <f>エンティティ一覧!$O$2</f>
        <v>milscm_2023_010</v>
      </c>
    </row>
    <row r="1362" spans="2:23" ht="18.75" customHeight="1">
      <c r="C1362" s="98"/>
      <c r="D1362" s="99"/>
      <c r="E1362" s="109"/>
      <c r="F1362" s="37"/>
      <c r="G1362" s="38"/>
      <c r="H1362" s="37"/>
      <c r="I1362" s="37"/>
      <c r="J1362" s="37"/>
      <c r="K1362" s="37"/>
      <c r="L1362" s="37"/>
      <c r="M1362" s="37"/>
      <c r="N1362" s="37"/>
      <c r="O1362" s="37"/>
      <c r="P1362" s="37"/>
      <c r="Q1362" s="37"/>
      <c r="R1362" s="120"/>
      <c r="S1362" s="121"/>
      <c r="T1362" s="101"/>
    </row>
    <row r="1363" spans="2:23" ht="18.75" customHeight="1">
      <c r="F1363" s="39"/>
      <c r="G1363" s="40"/>
    </row>
    <row r="1364" spans="2:23" ht="18.75" customHeight="1">
      <c r="C1364" s="96" t="s">
        <v>3229</v>
      </c>
      <c r="D1364" s="97"/>
      <c r="E1364" s="100" t="str">
        <f>エンティティ一覧!$O$2</f>
        <v>milscm_2023_010</v>
      </c>
      <c r="G1364" s="41"/>
    </row>
    <row r="1365" spans="2:23" ht="18.75" customHeight="1">
      <c r="C1365" s="98"/>
      <c r="D1365" s="99"/>
      <c r="E1365" s="101"/>
      <c r="F1365" s="37"/>
    </row>
    <row r="1367" spans="2:23" ht="18.75" customHeight="1" thickBot="1">
      <c r="B1367" s="42"/>
      <c r="C1367" s="42"/>
      <c r="D1367" s="42"/>
      <c r="E1367" s="42"/>
      <c r="F1367" s="42"/>
      <c r="G1367" s="42"/>
      <c r="H1367" s="42"/>
      <c r="I1367" s="42"/>
      <c r="J1367" s="42"/>
      <c r="K1367" s="42"/>
      <c r="L1367" s="42"/>
      <c r="M1367" s="42"/>
      <c r="N1367" s="42"/>
      <c r="O1367" s="42"/>
      <c r="P1367" s="42"/>
      <c r="Q1367" s="42"/>
      <c r="R1367" s="42"/>
      <c r="S1367" s="42"/>
      <c r="T1367" s="42"/>
      <c r="U1367" s="42"/>
    </row>
    <row r="1369" spans="2:23" ht="18.75" customHeight="1">
      <c r="B1369" s="43" t="s">
        <v>163</v>
      </c>
      <c r="C1369" s="51" t="s">
        <v>3497</v>
      </c>
      <c r="D1369" s="90"/>
      <c r="W1369" s="35" t="str">
        <f>"-- "&amp;B1369&amp;" : "&amp;C1369</f>
        <v>-- SQL_ID : 01_C4-08</v>
      </c>
    </row>
    <row r="1370" spans="2:23" ht="18.75" customHeight="1">
      <c r="B1370" s="43" t="s">
        <v>158</v>
      </c>
      <c r="C1370" s="102" t="str">
        <f>R1373&amp;"登録"</f>
        <v>バックアップ_経過記録情報モジュール_身体所見レコード登録</v>
      </c>
      <c r="D1370" s="103"/>
      <c r="E1370" s="103"/>
      <c r="F1370" s="103"/>
      <c r="G1370" s="103"/>
      <c r="H1370" s="103"/>
      <c r="I1370" s="103"/>
      <c r="J1370" s="103"/>
      <c r="K1370" s="103"/>
      <c r="L1370" s="103"/>
      <c r="M1370" s="103"/>
      <c r="N1370" s="103"/>
      <c r="O1370" s="103"/>
      <c r="P1370" s="103"/>
      <c r="Q1370" s="103"/>
      <c r="R1370" s="103"/>
      <c r="S1370" s="103"/>
      <c r="T1370" s="103"/>
      <c r="U1370" s="104"/>
      <c r="W1370" s="35" t="str">
        <f>"-- "&amp;C1370</f>
        <v>-- バックアップ_経過記録情報モジュール_身体所見レコード登録</v>
      </c>
    </row>
    <row r="1371" spans="2:23" ht="18.75" customHeight="1">
      <c r="B1371" s="43" t="s">
        <v>159</v>
      </c>
      <c r="C1371" s="105" t="str">
        <f>C1373&amp;"テーブルから組入れ条件の第一条件で絞り込んだ結果を"&amp;R1373&amp;"テーブルに格納する。"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371" s="106"/>
      <c r="E1371" s="106"/>
      <c r="F1371" s="106"/>
      <c r="G1371" s="106"/>
      <c r="H1371" s="106"/>
      <c r="I1371" s="106"/>
      <c r="J1371" s="106"/>
      <c r="K1371" s="106"/>
      <c r="L1371" s="106"/>
      <c r="M1371" s="106"/>
      <c r="N1371" s="106"/>
      <c r="O1371" s="106"/>
      <c r="P1371" s="106"/>
      <c r="Q1371" s="106"/>
      <c r="R1371" s="106"/>
      <c r="S1371" s="106"/>
      <c r="T1371" s="106"/>
      <c r="U1371" s="107"/>
      <c r="W1371" s="35" t="str">
        <f>"-- "&amp;C1371</f>
        <v>-- 経過記録情報モジュール_身体所見レコード_結合テーブルから組入れ条件の第一条件で絞り込んだ結果をバックアップ_経過記録情報モジュール_身体所見レコードテーブルに格納する。</v>
      </c>
    </row>
    <row r="1373" spans="2:23" ht="18.75" customHeight="1">
      <c r="C1373" s="96" t="s">
        <v>3498</v>
      </c>
      <c r="D1373" s="97"/>
      <c r="E1373" s="108" t="s">
        <v>162</v>
      </c>
      <c r="H1373" s="36"/>
      <c r="I1373" s="36"/>
      <c r="J1373" s="36"/>
      <c r="K1373" s="36"/>
      <c r="L1373" s="36"/>
      <c r="M1373" s="36"/>
      <c r="N1373" s="36"/>
      <c r="O1373" s="36"/>
      <c r="P1373" s="36"/>
      <c r="Q1373" s="36"/>
      <c r="R1373" s="118" t="str">
        <f>"バックアップ_"&amp;SUBSTITUTE(C1373,"_結合","")</f>
        <v>バックアップ_経過記録情報モジュール_身体所見レコード</v>
      </c>
      <c r="S1373" s="119"/>
      <c r="T1373" s="100" t="str">
        <f>エンティティ一覧!$O$2</f>
        <v>milscm_2023_010</v>
      </c>
    </row>
    <row r="1374" spans="2:23" ht="18.75" customHeight="1">
      <c r="C1374" s="98"/>
      <c r="D1374" s="99"/>
      <c r="E1374" s="109"/>
      <c r="F1374" s="37"/>
      <c r="G1374" s="38"/>
      <c r="H1374" s="37"/>
      <c r="I1374" s="37"/>
      <c r="J1374" s="37"/>
      <c r="K1374" s="37"/>
      <c r="L1374" s="37"/>
      <c r="M1374" s="37"/>
      <c r="N1374" s="37"/>
      <c r="O1374" s="37"/>
      <c r="P1374" s="37"/>
      <c r="Q1374" s="37"/>
      <c r="R1374" s="120"/>
      <c r="S1374" s="121"/>
      <c r="T1374" s="101"/>
    </row>
    <row r="1375" spans="2:23" ht="18.75" customHeight="1">
      <c r="F1375" s="39"/>
      <c r="G1375" s="40"/>
    </row>
    <row r="1376" spans="2:23" ht="18.75" customHeight="1">
      <c r="C1376" s="96" t="s">
        <v>3229</v>
      </c>
      <c r="D1376" s="97"/>
      <c r="E1376" s="100" t="str">
        <f>エンティティ一覧!$O$2</f>
        <v>milscm_2023_010</v>
      </c>
      <c r="G1376" s="41"/>
    </row>
    <row r="1377" spans="2:23" ht="18.75" customHeight="1">
      <c r="C1377" s="98"/>
      <c r="D1377" s="99"/>
      <c r="E1377" s="101"/>
      <c r="F1377" s="37"/>
    </row>
    <row r="1379" spans="2:23" ht="18.75" customHeight="1" thickBot="1">
      <c r="B1379" s="42"/>
      <c r="C1379" s="42"/>
      <c r="D1379" s="42"/>
      <c r="E1379" s="42"/>
      <c r="F1379" s="42"/>
      <c r="G1379" s="42"/>
      <c r="H1379" s="42"/>
      <c r="I1379" s="42"/>
      <c r="J1379" s="42"/>
      <c r="K1379" s="42"/>
      <c r="L1379" s="42"/>
      <c r="M1379" s="42"/>
      <c r="N1379" s="42"/>
      <c r="O1379" s="42"/>
      <c r="P1379" s="42"/>
      <c r="Q1379" s="42"/>
      <c r="R1379" s="42"/>
      <c r="S1379" s="42"/>
      <c r="T1379" s="42"/>
      <c r="U1379" s="42"/>
    </row>
    <row r="1381" spans="2:23" ht="18.75" customHeight="1">
      <c r="B1381" s="43" t="s">
        <v>163</v>
      </c>
      <c r="C1381" s="51" t="s">
        <v>3499</v>
      </c>
      <c r="D1381" s="90"/>
      <c r="W1381" s="35" t="str">
        <f>"-- "&amp;B1381&amp;" : "&amp;C1381</f>
        <v>-- SQL_ID : 01_C4-15</v>
      </c>
    </row>
    <row r="1382" spans="2:23" ht="18.75" customHeight="1">
      <c r="B1382" s="43" t="s">
        <v>158</v>
      </c>
      <c r="C1382" s="102" t="str">
        <f>R1385&amp;"登録"</f>
        <v>バックアップ_経過記録情報モジュール_アセスメントレコード登録</v>
      </c>
      <c r="D1382" s="103"/>
      <c r="E1382" s="103"/>
      <c r="F1382" s="103"/>
      <c r="G1382" s="103"/>
      <c r="H1382" s="103"/>
      <c r="I1382" s="103"/>
      <c r="J1382" s="103"/>
      <c r="K1382" s="103"/>
      <c r="L1382" s="103"/>
      <c r="M1382" s="103"/>
      <c r="N1382" s="103"/>
      <c r="O1382" s="103"/>
      <c r="P1382" s="103"/>
      <c r="Q1382" s="103"/>
      <c r="R1382" s="103"/>
      <c r="S1382" s="103"/>
      <c r="T1382" s="103"/>
      <c r="U1382" s="104"/>
      <c r="W1382" s="35" t="str">
        <f>"-- "&amp;C1382</f>
        <v>-- バックアップ_経過記録情報モジュール_アセスメントレコード登録</v>
      </c>
    </row>
    <row r="1383" spans="2:23" ht="18.75" customHeight="1">
      <c r="B1383" s="43" t="s">
        <v>159</v>
      </c>
      <c r="C1383" s="105" t="str">
        <f>C1385&amp;"テーブルから組入れ条件の第一条件で絞り込んだ結果を"&amp;R1385&amp;"テーブルに格納する。"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383" s="106"/>
      <c r="E1383" s="106"/>
      <c r="F1383" s="106"/>
      <c r="G1383" s="106"/>
      <c r="H1383" s="106"/>
      <c r="I1383" s="106"/>
      <c r="J1383" s="106"/>
      <c r="K1383" s="106"/>
      <c r="L1383" s="106"/>
      <c r="M1383" s="106"/>
      <c r="N1383" s="106"/>
      <c r="O1383" s="106"/>
      <c r="P1383" s="106"/>
      <c r="Q1383" s="106"/>
      <c r="R1383" s="106"/>
      <c r="S1383" s="106"/>
      <c r="T1383" s="106"/>
      <c r="U1383" s="107"/>
      <c r="W1383" s="35" t="str">
        <f>"-- "&amp;C1383</f>
        <v>-- 経過記録情報モジュール_アセスメントレコード_結合テーブルから組入れ条件の第一条件で絞り込んだ結果をバックアップ_経過記録情報モジュール_アセスメントレコードテーブルに格納する。</v>
      </c>
    </row>
    <row r="1385" spans="2:23" ht="18.75" customHeight="1">
      <c r="C1385" s="96" t="s">
        <v>3500</v>
      </c>
      <c r="D1385" s="97"/>
      <c r="E1385" s="108" t="s">
        <v>162</v>
      </c>
      <c r="H1385" s="36"/>
      <c r="I1385" s="36"/>
      <c r="J1385" s="36"/>
      <c r="K1385" s="36"/>
      <c r="L1385" s="36"/>
      <c r="M1385" s="36"/>
      <c r="N1385" s="36"/>
      <c r="O1385" s="36"/>
      <c r="P1385" s="36"/>
      <c r="Q1385" s="36"/>
      <c r="R1385" s="118" t="str">
        <f>"バックアップ_"&amp;SUBSTITUTE(C1385,"_結合","")</f>
        <v>バックアップ_経過記録情報モジュール_アセスメントレコード</v>
      </c>
      <c r="S1385" s="119"/>
      <c r="T1385" s="100" t="str">
        <f>エンティティ一覧!$O$2</f>
        <v>milscm_2023_010</v>
      </c>
    </row>
    <row r="1386" spans="2:23" ht="18.75" customHeight="1">
      <c r="C1386" s="98"/>
      <c r="D1386" s="99"/>
      <c r="E1386" s="109"/>
      <c r="F1386" s="37"/>
      <c r="G1386" s="38"/>
      <c r="H1386" s="37"/>
      <c r="I1386" s="37"/>
      <c r="J1386" s="37"/>
      <c r="K1386" s="37"/>
      <c r="L1386" s="37"/>
      <c r="M1386" s="37"/>
      <c r="N1386" s="37"/>
      <c r="O1386" s="37"/>
      <c r="P1386" s="37"/>
      <c r="Q1386" s="37"/>
      <c r="R1386" s="120"/>
      <c r="S1386" s="121"/>
      <c r="T1386" s="101"/>
    </row>
    <row r="1387" spans="2:23" ht="18.75" customHeight="1">
      <c r="F1387" s="39"/>
      <c r="G1387" s="40"/>
    </row>
    <row r="1388" spans="2:23" ht="18.75" customHeight="1">
      <c r="C1388" s="96" t="s">
        <v>3229</v>
      </c>
      <c r="D1388" s="97"/>
      <c r="E1388" s="100" t="str">
        <f>エンティティ一覧!$O$2</f>
        <v>milscm_2023_010</v>
      </c>
      <c r="G1388" s="41"/>
    </row>
    <row r="1389" spans="2:23" ht="18.75" customHeight="1">
      <c r="C1389" s="98"/>
      <c r="D1389" s="99"/>
      <c r="E1389" s="101"/>
      <c r="F1389" s="37"/>
    </row>
    <row r="1391" spans="2:23" ht="18.75" customHeight="1" thickBot="1">
      <c r="B1391" s="42"/>
      <c r="C1391" s="42"/>
      <c r="D1391" s="42"/>
      <c r="E1391" s="42"/>
      <c r="F1391" s="42"/>
      <c r="G1391" s="42"/>
      <c r="H1391" s="42"/>
      <c r="I1391" s="42"/>
      <c r="J1391" s="42"/>
      <c r="K1391" s="42"/>
      <c r="L1391" s="42"/>
      <c r="M1391" s="42"/>
      <c r="N1391" s="42"/>
      <c r="O1391" s="42"/>
      <c r="P1391" s="42"/>
      <c r="Q1391" s="42"/>
      <c r="R1391" s="42"/>
      <c r="S1391" s="42"/>
      <c r="T1391" s="42"/>
      <c r="U1391" s="42"/>
    </row>
    <row r="1393" spans="2:23" ht="18.75" customHeight="1">
      <c r="B1393" s="43" t="s">
        <v>163</v>
      </c>
      <c r="C1393" s="51" t="s">
        <v>3501</v>
      </c>
      <c r="D1393" s="90"/>
      <c r="W1393" s="35" t="str">
        <f>"-- "&amp;B1393&amp;" : "&amp;C1393</f>
        <v>-- SQL_ID : 01_C4-22</v>
      </c>
    </row>
    <row r="1394" spans="2:23" ht="18.75" customHeight="1">
      <c r="B1394" s="43" t="s">
        <v>158</v>
      </c>
      <c r="C1394" s="102" t="str">
        <f>R1397&amp;"登録"</f>
        <v>バックアップ_経過記録情報モジュール_外部参照レコード登録</v>
      </c>
      <c r="D1394" s="103"/>
      <c r="E1394" s="103"/>
      <c r="F1394" s="103"/>
      <c r="G1394" s="103"/>
      <c r="H1394" s="103"/>
      <c r="I1394" s="103"/>
      <c r="J1394" s="103"/>
      <c r="K1394" s="103"/>
      <c r="L1394" s="103"/>
      <c r="M1394" s="103"/>
      <c r="N1394" s="103"/>
      <c r="O1394" s="103"/>
      <c r="P1394" s="103"/>
      <c r="Q1394" s="103"/>
      <c r="R1394" s="103"/>
      <c r="S1394" s="103"/>
      <c r="T1394" s="103"/>
      <c r="U1394" s="104"/>
      <c r="W1394" s="35" t="str">
        <f>"-- "&amp;C1394</f>
        <v>-- バックアップ_経過記録情報モジュール_外部参照レコード登録</v>
      </c>
    </row>
    <row r="1395" spans="2:23" ht="18.75" customHeight="1">
      <c r="B1395" s="43" t="s">
        <v>159</v>
      </c>
      <c r="C1395" s="105" t="str">
        <f>C1397&amp;"テーブルから組入れ条件の第一条件で絞り込んだ結果を"&amp;R1397&amp;"テーブルに格納する。"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395" s="106"/>
      <c r="E1395" s="106"/>
      <c r="F1395" s="106"/>
      <c r="G1395" s="106"/>
      <c r="H1395" s="106"/>
      <c r="I1395" s="106"/>
      <c r="J1395" s="106"/>
      <c r="K1395" s="106"/>
      <c r="L1395" s="106"/>
      <c r="M1395" s="106"/>
      <c r="N1395" s="106"/>
      <c r="O1395" s="106"/>
      <c r="P1395" s="106"/>
      <c r="Q1395" s="106"/>
      <c r="R1395" s="106"/>
      <c r="S1395" s="106"/>
      <c r="T1395" s="106"/>
      <c r="U1395" s="107"/>
      <c r="W1395" s="35" t="str">
        <f>"-- "&amp;C1395</f>
        <v>-- 経過記録情報モジュール_外部参照レコード_結合テーブルから組入れ条件の第一条件で絞り込んだ結果をバックアップ_経過記録情報モジュール_外部参照レコードテーブルに格納する。</v>
      </c>
    </row>
    <row r="1397" spans="2:23" ht="18.75" customHeight="1">
      <c r="C1397" s="96" t="s">
        <v>3502</v>
      </c>
      <c r="D1397" s="97"/>
      <c r="E1397" s="108" t="s">
        <v>162</v>
      </c>
      <c r="H1397" s="36"/>
      <c r="I1397" s="36"/>
      <c r="J1397" s="36"/>
      <c r="K1397" s="36"/>
      <c r="L1397" s="36"/>
      <c r="M1397" s="36"/>
      <c r="N1397" s="36"/>
      <c r="O1397" s="36"/>
      <c r="P1397" s="36"/>
      <c r="Q1397" s="36"/>
      <c r="R1397" s="118" t="str">
        <f>"バックアップ_"&amp;SUBSTITUTE(C1397,"_結合","")</f>
        <v>バックアップ_経過記録情報モジュール_外部参照レコード</v>
      </c>
      <c r="S1397" s="119"/>
      <c r="T1397" s="100" t="str">
        <f>エンティティ一覧!$O$2</f>
        <v>milscm_2023_010</v>
      </c>
    </row>
    <row r="1398" spans="2:23" ht="18.75" customHeight="1">
      <c r="C1398" s="98"/>
      <c r="D1398" s="99"/>
      <c r="E1398" s="109"/>
      <c r="F1398" s="37"/>
      <c r="G1398" s="38"/>
      <c r="H1398" s="37"/>
      <c r="I1398" s="37"/>
      <c r="J1398" s="37"/>
      <c r="K1398" s="37"/>
      <c r="L1398" s="37"/>
      <c r="M1398" s="37"/>
      <c r="N1398" s="37"/>
      <c r="O1398" s="37"/>
      <c r="P1398" s="37"/>
      <c r="Q1398" s="37"/>
      <c r="R1398" s="120"/>
      <c r="S1398" s="121"/>
      <c r="T1398" s="101"/>
    </row>
    <row r="1399" spans="2:23" ht="18.75" customHeight="1">
      <c r="F1399" s="39"/>
      <c r="G1399" s="40"/>
    </row>
    <row r="1400" spans="2:23" ht="18.75" customHeight="1">
      <c r="C1400" s="96" t="s">
        <v>3229</v>
      </c>
      <c r="D1400" s="97"/>
      <c r="E1400" s="100" t="str">
        <f>エンティティ一覧!$O$2</f>
        <v>milscm_2023_010</v>
      </c>
      <c r="G1400" s="41"/>
    </row>
    <row r="1401" spans="2:23" ht="18.75" customHeight="1">
      <c r="C1401" s="98"/>
      <c r="D1401" s="99"/>
      <c r="E1401" s="101"/>
      <c r="F1401" s="37"/>
    </row>
    <row r="1403" spans="2:23" ht="18.75" customHeight="1" thickBot="1">
      <c r="B1403" s="42"/>
      <c r="C1403" s="42"/>
      <c r="D1403" s="42"/>
      <c r="E1403" s="42"/>
      <c r="F1403" s="42"/>
      <c r="G1403" s="42"/>
      <c r="H1403" s="42"/>
      <c r="I1403" s="42"/>
      <c r="J1403" s="42"/>
      <c r="K1403" s="42"/>
      <c r="L1403" s="42"/>
      <c r="M1403" s="42"/>
      <c r="N1403" s="42"/>
      <c r="O1403" s="42"/>
      <c r="P1403" s="42"/>
      <c r="Q1403" s="42"/>
      <c r="R1403" s="42"/>
      <c r="S1403" s="42"/>
      <c r="T1403" s="42"/>
      <c r="U1403" s="42"/>
    </row>
    <row r="1405" spans="2:23" ht="18.75" customHeight="1">
      <c r="B1405" s="43" t="s">
        <v>163</v>
      </c>
      <c r="C1405" s="51" t="s">
        <v>3503</v>
      </c>
      <c r="D1405" s="90"/>
      <c r="W1405" s="35" t="str">
        <f>"-- "&amp;B1405&amp;" : "&amp;C1405</f>
        <v>-- SQL_ID : 01_C4-23</v>
      </c>
    </row>
    <row r="1406" spans="2:23" ht="18.75" customHeight="1">
      <c r="B1406" s="43" t="s">
        <v>158</v>
      </c>
      <c r="C1406" s="102" t="str">
        <f>R1409&amp;"登録"</f>
        <v>バックアップ_臨床サマリーモジュール_臨床サマリー情報レコード登録</v>
      </c>
      <c r="D1406" s="103"/>
      <c r="E1406" s="103"/>
      <c r="F1406" s="103"/>
      <c r="G1406" s="103"/>
      <c r="H1406" s="103"/>
      <c r="I1406" s="103"/>
      <c r="J1406" s="103"/>
      <c r="K1406" s="103"/>
      <c r="L1406" s="103"/>
      <c r="M1406" s="103"/>
      <c r="N1406" s="103"/>
      <c r="O1406" s="103"/>
      <c r="P1406" s="103"/>
      <c r="Q1406" s="103"/>
      <c r="R1406" s="103"/>
      <c r="S1406" s="103"/>
      <c r="T1406" s="103"/>
      <c r="U1406" s="104"/>
      <c r="W1406" s="35" t="str">
        <f>"-- "&amp;C1406</f>
        <v>-- バックアップ_臨床サマリーモジュール_臨床サマリー情報レコード登録</v>
      </c>
    </row>
    <row r="1407" spans="2:23" ht="18.75" customHeight="1">
      <c r="B1407" s="43" t="s">
        <v>159</v>
      </c>
      <c r="C1407" s="105" t="str">
        <f>C1409&amp;"テーブルから組入れ条件の第一条件で絞り込んだ結果を"&amp;R1409&amp;"テーブルに格納する。"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07" s="106"/>
      <c r="E1407" s="106"/>
      <c r="F1407" s="106"/>
      <c r="G1407" s="106"/>
      <c r="H1407" s="106"/>
      <c r="I1407" s="106"/>
      <c r="J1407" s="106"/>
      <c r="K1407" s="106"/>
      <c r="L1407" s="106"/>
      <c r="M1407" s="106"/>
      <c r="N1407" s="106"/>
      <c r="O1407" s="106"/>
      <c r="P1407" s="106"/>
      <c r="Q1407" s="106"/>
      <c r="R1407" s="106"/>
      <c r="S1407" s="106"/>
      <c r="T1407" s="106"/>
      <c r="U1407" s="107"/>
      <c r="W1407" s="35" t="str">
        <f>"-- "&amp;C1407</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09" spans="2:23" ht="18.75" customHeight="1">
      <c r="C1409" s="114" t="s">
        <v>3504</v>
      </c>
      <c r="D1409" s="115"/>
      <c r="E1409" s="108" t="s">
        <v>162</v>
      </c>
      <c r="H1409" s="36"/>
      <c r="I1409" s="36"/>
      <c r="J1409" s="36"/>
      <c r="K1409" s="36"/>
      <c r="L1409" s="36"/>
      <c r="M1409" s="36"/>
      <c r="N1409" s="36"/>
      <c r="O1409" s="36"/>
      <c r="P1409" s="36"/>
      <c r="Q1409" s="36"/>
      <c r="R1409" s="110" t="str">
        <f>"バックアップ_"&amp;SUBSTITUTE(C1409,"_結合","")</f>
        <v>バックアップ_臨床サマリーモジュール_臨床サマリー情報レコード</v>
      </c>
      <c r="S1409" s="111"/>
      <c r="T1409" s="100" t="str">
        <f>エンティティ一覧!$O$2</f>
        <v>milscm_2023_010</v>
      </c>
    </row>
    <row r="1410" spans="2:23" ht="18.75" customHeight="1">
      <c r="C1410" s="116"/>
      <c r="D1410" s="117"/>
      <c r="E1410" s="109"/>
      <c r="F1410" s="37"/>
      <c r="G1410" s="38"/>
      <c r="H1410" s="37"/>
      <c r="I1410" s="37"/>
      <c r="J1410" s="37"/>
      <c r="K1410" s="37"/>
      <c r="L1410" s="37"/>
      <c r="M1410" s="37"/>
      <c r="N1410" s="37"/>
      <c r="O1410" s="37"/>
      <c r="P1410" s="37"/>
      <c r="Q1410" s="37"/>
      <c r="R1410" s="112"/>
      <c r="S1410" s="113"/>
      <c r="T1410" s="101"/>
    </row>
    <row r="1411" spans="2:23" ht="18.75" customHeight="1">
      <c r="F1411" s="39"/>
      <c r="G1411" s="40"/>
    </row>
    <row r="1412" spans="2:23" ht="18.75" customHeight="1">
      <c r="C1412" s="96" t="s">
        <v>3229</v>
      </c>
      <c r="D1412" s="97"/>
      <c r="E1412" s="100" t="str">
        <f>エンティティ一覧!$O$2</f>
        <v>milscm_2023_010</v>
      </c>
      <c r="G1412" s="41"/>
    </row>
    <row r="1413" spans="2:23" ht="18.75" customHeight="1">
      <c r="C1413" s="98"/>
      <c r="D1413" s="99"/>
      <c r="E1413" s="101"/>
      <c r="F1413" s="37"/>
    </row>
    <row r="1415" spans="2:23" ht="18.75" customHeight="1" thickBot="1">
      <c r="B1415" s="42"/>
      <c r="C1415" s="42"/>
      <c r="D1415" s="42"/>
      <c r="E1415" s="42"/>
      <c r="F1415" s="42"/>
      <c r="G1415" s="42"/>
      <c r="H1415" s="42"/>
      <c r="I1415" s="42"/>
      <c r="J1415" s="42"/>
      <c r="K1415" s="42"/>
      <c r="L1415" s="42"/>
      <c r="M1415" s="42"/>
      <c r="N1415" s="42"/>
      <c r="O1415" s="42"/>
      <c r="P1415" s="42"/>
      <c r="Q1415" s="42"/>
      <c r="R1415" s="42"/>
      <c r="S1415" s="42"/>
      <c r="T1415" s="42"/>
      <c r="U1415" s="42"/>
    </row>
    <row r="1417" spans="2:23" ht="18.75" customHeight="1">
      <c r="B1417" s="43" t="s">
        <v>163</v>
      </c>
      <c r="C1417" s="51" t="s">
        <v>3505</v>
      </c>
      <c r="D1417" s="90"/>
      <c r="W1417" s="35" t="str">
        <f>"-- "&amp;B1417&amp;" : "&amp;C1417</f>
        <v>-- SQL_ID : 01_C4-24</v>
      </c>
    </row>
    <row r="1418" spans="2:23" ht="18.75" customHeight="1">
      <c r="B1418" s="43" t="s">
        <v>158</v>
      </c>
      <c r="C1418" s="102" t="str">
        <f>R1421&amp;"登録"</f>
        <v>バックアップ_臨床サマリーモジュール_外来受診レコード登録</v>
      </c>
      <c r="D1418" s="103"/>
      <c r="E1418" s="103"/>
      <c r="F1418" s="103"/>
      <c r="G1418" s="103"/>
      <c r="H1418" s="103"/>
      <c r="I1418" s="103"/>
      <c r="J1418" s="103"/>
      <c r="K1418" s="103"/>
      <c r="L1418" s="103"/>
      <c r="M1418" s="103"/>
      <c r="N1418" s="103"/>
      <c r="O1418" s="103"/>
      <c r="P1418" s="103"/>
      <c r="Q1418" s="103"/>
      <c r="R1418" s="103"/>
      <c r="S1418" s="103"/>
      <c r="T1418" s="103"/>
      <c r="U1418" s="104"/>
      <c r="W1418" s="35" t="str">
        <f>"-- "&amp;C1418</f>
        <v>-- バックアップ_臨床サマリーモジュール_外来受診レコード登録</v>
      </c>
    </row>
    <row r="1419" spans="2:23" ht="18.75" customHeight="1">
      <c r="B1419" s="43" t="s">
        <v>159</v>
      </c>
      <c r="C1419" s="105" t="str">
        <f>C1421&amp;"テーブルから組入れ条件の第一条件で絞り込んだ結果を"&amp;R1421&amp;"テーブルに格納する。"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19" s="106"/>
      <c r="E1419" s="106"/>
      <c r="F1419" s="106"/>
      <c r="G1419" s="106"/>
      <c r="H1419" s="106"/>
      <c r="I1419" s="106"/>
      <c r="J1419" s="106"/>
      <c r="K1419" s="106"/>
      <c r="L1419" s="106"/>
      <c r="M1419" s="106"/>
      <c r="N1419" s="106"/>
      <c r="O1419" s="106"/>
      <c r="P1419" s="106"/>
      <c r="Q1419" s="106"/>
      <c r="R1419" s="106"/>
      <c r="S1419" s="106"/>
      <c r="T1419" s="106"/>
      <c r="U1419" s="107"/>
      <c r="W1419" s="35" t="str">
        <f>"-- "&amp;C1419</f>
        <v>-- 臨床サマリーモジュール_外来受診レコード_結合テーブルから組入れ条件の第一条件で絞り込んだ結果をバックアップ_臨床サマリーモジュール_外来受診レコードテーブルに格納する。</v>
      </c>
    </row>
    <row r="1421" spans="2:23" ht="18.75" customHeight="1">
      <c r="C1421" s="96" t="s">
        <v>3506</v>
      </c>
      <c r="D1421" s="97"/>
      <c r="E1421" s="108" t="s">
        <v>162</v>
      </c>
      <c r="H1421" s="36"/>
      <c r="I1421" s="36"/>
      <c r="J1421" s="36"/>
      <c r="K1421" s="36"/>
      <c r="L1421" s="36"/>
      <c r="M1421" s="36"/>
      <c r="N1421" s="36"/>
      <c r="O1421" s="36"/>
      <c r="P1421" s="36"/>
      <c r="Q1421" s="36"/>
      <c r="R1421" s="118" t="str">
        <f>"バックアップ_"&amp;SUBSTITUTE(C1421,"_結合","")</f>
        <v>バックアップ_臨床サマリーモジュール_外来受診レコード</v>
      </c>
      <c r="S1421" s="119"/>
      <c r="T1421" s="100" t="str">
        <f>エンティティ一覧!$O$2</f>
        <v>milscm_2023_010</v>
      </c>
    </row>
    <row r="1422" spans="2:23" ht="18.75" customHeight="1">
      <c r="C1422" s="98"/>
      <c r="D1422" s="99"/>
      <c r="E1422" s="109"/>
      <c r="F1422" s="37"/>
      <c r="G1422" s="38"/>
      <c r="H1422" s="37"/>
      <c r="I1422" s="37"/>
      <c r="J1422" s="37"/>
      <c r="K1422" s="37"/>
      <c r="L1422" s="37"/>
      <c r="M1422" s="37"/>
      <c r="N1422" s="37"/>
      <c r="O1422" s="37"/>
      <c r="P1422" s="37"/>
      <c r="Q1422" s="37"/>
      <c r="R1422" s="120"/>
      <c r="S1422" s="121"/>
      <c r="T1422" s="101"/>
    </row>
    <row r="1423" spans="2:23" ht="18.75" customHeight="1">
      <c r="F1423" s="39"/>
      <c r="G1423" s="40"/>
    </row>
    <row r="1424" spans="2:23" ht="18.75" customHeight="1">
      <c r="C1424" s="96" t="s">
        <v>3229</v>
      </c>
      <c r="D1424" s="97"/>
      <c r="E1424" s="100" t="str">
        <f>エンティティ一覧!$O$2</f>
        <v>milscm_2023_010</v>
      </c>
      <c r="G1424" s="41"/>
    </row>
    <row r="1425" spans="2:23" ht="18.75" customHeight="1">
      <c r="C1425" s="98"/>
      <c r="D1425" s="99"/>
      <c r="E1425" s="101"/>
      <c r="F1425" s="37"/>
    </row>
    <row r="1427" spans="2:23" ht="18.75" customHeight="1" thickBot="1">
      <c r="B1427" s="42"/>
      <c r="C1427" s="42"/>
      <c r="D1427" s="42"/>
      <c r="E1427" s="42"/>
      <c r="F1427" s="42"/>
      <c r="G1427" s="42"/>
      <c r="H1427" s="42"/>
      <c r="I1427" s="42"/>
      <c r="J1427" s="42"/>
      <c r="K1427" s="42"/>
      <c r="L1427" s="42"/>
      <c r="M1427" s="42"/>
      <c r="N1427" s="42"/>
      <c r="O1427" s="42"/>
      <c r="P1427" s="42"/>
      <c r="Q1427" s="42"/>
      <c r="R1427" s="42"/>
      <c r="S1427" s="42"/>
      <c r="T1427" s="42"/>
      <c r="U1427" s="42"/>
    </row>
    <row r="1429" spans="2:23" ht="18.75" customHeight="1">
      <c r="B1429" s="43" t="s">
        <v>163</v>
      </c>
      <c r="C1429" s="51" t="s">
        <v>3507</v>
      </c>
      <c r="D1429" s="90"/>
      <c r="W1429" s="35" t="str">
        <f>"-- "&amp;B1429&amp;" : "&amp;C1429</f>
        <v>-- SQL_ID : 01_C4-25</v>
      </c>
    </row>
    <row r="1430" spans="2:23" ht="18.75" customHeight="1">
      <c r="B1430" s="43" t="s">
        <v>158</v>
      </c>
      <c r="C1430" s="102" t="str">
        <f>R1433&amp;"登録"</f>
        <v>バックアップ_臨床サマリーモジュール_入院レコード登録</v>
      </c>
      <c r="D1430" s="103"/>
      <c r="E1430" s="103"/>
      <c r="F1430" s="103"/>
      <c r="G1430" s="103"/>
      <c r="H1430" s="103"/>
      <c r="I1430" s="103"/>
      <c r="J1430" s="103"/>
      <c r="K1430" s="103"/>
      <c r="L1430" s="103"/>
      <c r="M1430" s="103"/>
      <c r="N1430" s="103"/>
      <c r="O1430" s="103"/>
      <c r="P1430" s="103"/>
      <c r="Q1430" s="103"/>
      <c r="R1430" s="103"/>
      <c r="S1430" s="103"/>
      <c r="T1430" s="103"/>
      <c r="U1430" s="104"/>
      <c r="W1430" s="35" t="str">
        <f>"-- "&amp;C1430</f>
        <v>-- バックアップ_臨床サマリーモジュール_入院レコード登録</v>
      </c>
    </row>
    <row r="1431" spans="2:23" ht="18.75" customHeight="1">
      <c r="B1431" s="43" t="s">
        <v>159</v>
      </c>
      <c r="C1431" s="105" t="str">
        <f>C1433&amp;"テーブルから組入れ条件の第一条件で絞り込んだ結果を"&amp;R1433&amp;"テーブルに格納する。"</f>
        <v>臨床サマリーモジュール_入院レコード_結合テーブルから組入れ条件の第一条件で絞り込んだ結果をバックアップ_臨床サマリーモジュール_入院レコードテーブルに格納する。</v>
      </c>
      <c r="D1431" s="106"/>
      <c r="E1431" s="106"/>
      <c r="F1431" s="106"/>
      <c r="G1431" s="106"/>
      <c r="H1431" s="106"/>
      <c r="I1431" s="106"/>
      <c r="J1431" s="106"/>
      <c r="K1431" s="106"/>
      <c r="L1431" s="106"/>
      <c r="M1431" s="106"/>
      <c r="N1431" s="106"/>
      <c r="O1431" s="106"/>
      <c r="P1431" s="106"/>
      <c r="Q1431" s="106"/>
      <c r="R1431" s="106"/>
      <c r="S1431" s="106"/>
      <c r="T1431" s="106"/>
      <c r="U1431" s="107"/>
      <c r="W1431" s="35" t="str">
        <f>"-- "&amp;C1431</f>
        <v>-- 臨床サマリーモジュール_入院レコード_結合テーブルから組入れ条件の第一条件で絞り込んだ結果をバックアップ_臨床サマリーモジュール_入院レコードテーブルに格納する。</v>
      </c>
    </row>
    <row r="1433" spans="2:23" ht="18.75" customHeight="1">
      <c r="C1433" s="96" t="s">
        <v>3508</v>
      </c>
      <c r="D1433" s="97"/>
      <c r="E1433" s="108" t="s">
        <v>162</v>
      </c>
      <c r="H1433" s="36"/>
      <c r="I1433" s="36"/>
      <c r="J1433" s="36"/>
      <c r="K1433" s="36"/>
      <c r="L1433" s="36"/>
      <c r="M1433" s="36"/>
      <c r="N1433" s="36"/>
      <c r="O1433" s="36"/>
      <c r="P1433" s="36"/>
      <c r="Q1433" s="36"/>
      <c r="R1433" s="118" t="str">
        <f>"バックアップ_"&amp;SUBSTITUTE(C1433,"_結合","")</f>
        <v>バックアップ_臨床サマリーモジュール_入院レコード</v>
      </c>
      <c r="S1433" s="119"/>
      <c r="T1433" s="100" t="str">
        <f>エンティティ一覧!$O$2</f>
        <v>milscm_2023_010</v>
      </c>
    </row>
    <row r="1434" spans="2:23" ht="18.75" customHeight="1">
      <c r="C1434" s="98"/>
      <c r="D1434" s="99"/>
      <c r="E1434" s="109"/>
      <c r="F1434" s="37"/>
      <c r="G1434" s="38"/>
      <c r="H1434" s="37"/>
      <c r="I1434" s="37"/>
      <c r="J1434" s="37"/>
      <c r="K1434" s="37"/>
      <c r="L1434" s="37"/>
      <c r="M1434" s="37"/>
      <c r="N1434" s="37"/>
      <c r="O1434" s="37"/>
      <c r="P1434" s="37"/>
      <c r="Q1434" s="37"/>
      <c r="R1434" s="120"/>
      <c r="S1434" s="121"/>
      <c r="T1434" s="101"/>
    </row>
    <row r="1435" spans="2:23" ht="18.75" customHeight="1">
      <c r="F1435" s="39"/>
      <c r="G1435" s="40"/>
    </row>
    <row r="1436" spans="2:23" ht="18.75" customHeight="1">
      <c r="C1436" s="96" t="s">
        <v>3229</v>
      </c>
      <c r="D1436" s="97"/>
      <c r="E1436" s="100" t="str">
        <f>エンティティ一覧!$O$2</f>
        <v>milscm_2023_010</v>
      </c>
      <c r="G1436" s="41"/>
    </row>
    <row r="1437" spans="2:23" ht="18.75" customHeight="1">
      <c r="C1437" s="98"/>
      <c r="D1437" s="99"/>
      <c r="E1437" s="101"/>
      <c r="F1437" s="37"/>
    </row>
    <row r="1439" spans="2:23" ht="18.75" customHeight="1" thickBot="1">
      <c r="B1439" s="42"/>
      <c r="C1439" s="42"/>
      <c r="D1439" s="42"/>
      <c r="E1439" s="42"/>
      <c r="F1439" s="42"/>
      <c r="G1439" s="42"/>
      <c r="H1439" s="42"/>
      <c r="I1439" s="42"/>
      <c r="J1439" s="42"/>
      <c r="K1439" s="42"/>
      <c r="L1439" s="42"/>
      <c r="M1439" s="42"/>
      <c r="N1439" s="42"/>
      <c r="O1439" s="42"/>
      <c r="P1439" s="42"/>
      <c r="Q1439" s="42"/>
      <c r="R1439" s="42"/>
      <c r="S1439" s="42"/>
      <c r="T1439" s="42"/>
      <c r="U1439" s="42"/>
    </row>
    <row r="1441" spans="2:23" ht="18.75" customHeight="1">
      <c r="B1441" s="43" t="s">
        <v>163</v>
      </c>
      <c r="C1441" s="51" t="s">
        <v>3509</v>
      </c>
      <c r="D1441" s="90"/>
      <c r="W1441" s="35" t="str">
        <f>"-- "&amp;B1441&amp;" : "&amp;C1441</f>
        <v>-- SQL_ID : 01_C4-29</v>
      </c>
    </row>
    <row r="1442" spans="2:23" ht="18.75" customHeight="1">
      <c r="B1442" s="43" t="s">
        <v>158</v>
      </c>
      <c r="C1442" s="102" t="str">
        <f>R1445&amp;"登録"</f>
        <v>バックアップ_臨床サマリーモジュール_経過記録レコード登録</v>
      </c>
      <c r="D1442" s="103"/>
      <c r="E1442" s="103"/>
      <c r="F1442" s="103"/>
      <c r="G1442" s="103"/>
      <c r="H1442" s="103"/>
      <c r="I1442" s="103"/>
      <c r="J1442" s="103"/>
      <c r="K1442" s="103"/>
      <c r="L1442" s="103"/>
      <c r="M1442" s="103"/>
      <c r="N1442" s="103"/>
      <c r="O1442" s="103"/>
      <c r="P1442" s="103"/>
      <c r="Q1442" s="103"/>
      <c r="R1442" s="103"/>
      <c r="S1442" s="103"/>
      <c r="T1442" s="103"/>
      <c r="U1442" s="104"/>
      <c r="W1442" s="35" t="str">
        <f>"-- "&amp;C1442</f>
        <v>-- バックアップ_臨床サマリーモジュール_経過記録レコード登録</v>
      </c>
    </row>
    <row r="1443" spans="2:23" ht="18.75" customHeight="1">
      <c r="B1443" s="43" t="s">
        <v>159</v>
      </c>
      <c r="C1443" s="105" t="str">
        <f>C1445&amp;"テーブルから組入れ条件の第一条件で絞り込んだ結果を"&amp;R1445&amp;"テーブルに格納する。"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443" s="106"/>
      <c r="E1443" s="106"/>
      <c r="F1443" s="106"/>
      <c r="G1443" s="106"/>
      <c r="H1443" s="106"/>
      <c r="I1443" s="106"/>
      <c r="J1443" s="106"/>
      <c r="K1443" s="106"/>
      <c r="L1443" s="106"/>
      <c r="M1443" s="106"/>
      <c r="N1443" s="106"/>
      <c r="O1443" s="106"/>
      <c r="P1443" s="106"/>
      <c r="Q1443" s="106"/>
      <c r="R1443" s="106"/>
      <c r="S1443" s="106"/>
      <c r="T1443" s="106"/>
      <c r="U1443" s="107"/>
      <c r="W1443" s="35" t="str">
        <f>"-- "&amp;C1443</f>
        <v>-- 臨床サマリーモジュール_経過記録レコード_結合テーブルから組入れ条件の第一条件で絞り込んだ結果をバックアップ_臨床サマリーモジュール_経過記録レコードテーブルに格納する。</v>
      </c>
    </row>
    <row r="1445" spans="2:23" ht="18.75" customHeight="1">
      <c r="C1445" s="96" t="s">
        <v>3510</v>
      </c>
      <c r="D1445" s="97"/>
      <c r="E1445" s="108" t="s">
        <v>162</v>
      </c>
      <c r="H1445" s="36"/>
      <c r="I1445" s="36"/>
      <c r="J1445" s="36"/>
      <c r="K1445" s="36"/>
      <c r="L1445" s="36"/>
      <c r="M1445" s="36"/>
      <c r="N1445" s="36"/>
      <c r="O1445" s="36"/>
      <c r="P1445" s="36"/>
      <c r="Q1445" s="36"/>
      <c r="R1445" s="118" t="str">
        <f>"バックアップ_"&amp;SUBSTITUTE(C1445,"_結合","")</f>
        <v>バックアップ_臨床サマリーモジュール_経過記録レコード</v>
      </c>
      <c r="S1445" s="119"/>
      <c r="T1445" s="100" t="str">
        <f>エンティティ一覧!$O$2</f>
        <v>milscm_2023_010</v>
      </c>
    </row>
    <row r="1446" spans="2:23" ht="18.75" customHeight="1">
      <c r="C1446" s="98"/>
      <c r="D1446" s="99"/>
      <c r="E1446" s="109"/>
      <c r="F1446" s="37"/>
      <c r="G1446" s="38"/>
      <c r="H1446" s="37"/>
      <c r="I1446" s="37"/>
      <c r="J1446" s="37"/>
      <c r="K1446" s="37"/>
      <c r="L1446" s="37"/>
      <c r="M1446" s="37"/>
      <c r="N1446" s="37"/>
      <c r="O1446" s="37"/>
      <c r="P1446" s="37"/>
      <c r="Q1446" s="37"/>
      <c r="R1446" s="120"/>
      <c r="S1446" s="121"/>
      <c r="T1446" s="101"/>
    </row>
    <row r="1447" spans="2:23" ht="18.75" customHeight="1">
      <c r="F1447" s="39"/>
      <c r="G1447" s="40"/>
    </row>
    <row r="1448" spans="2:23" ht="18.75" customHeight="1">
      <c r="C1448" s="96" t="s">
        <v>3229</v>
      </c>
      <c r="D1448" s="97"/>
      <c r="E1448" s="100" t="str">
        <f>エンティティ一覧!$O$2</f>
        <v>milscm_2023_010</v>
      </c>
      <c r="G1448" s="41"/>
    </row>
    <row r="1449" spans="2:23" ht="18.75" customHeight="1">
      <c r="C1449" s="98"/>
      <c r="D1449" s="99"/>
      <c r="E1449" s="101"/>
      <c r="F1449" s="37"/>
    </row>
    <row r="1451" spans="2:23" ht="18.75" customHeight="1" thickBot="1">
      <c r="B1451" s="42"/>
      <c r="C1451" s="42"/>
      <c r="D1451" s="42"/>
      <c r="E1451" s="42"/>
      <c r="F1451" s="42"/>
      <c r="G1451" s="42"/>
      <c r="H1451" s="42"/>
      <c r="I1451" s="42"/>
      <c r="J1451" s="42"/>
      <c r="K1451" s="42"/>
      <c r="L1451" s="42"/>
      <c r="M1451" s="42"/>
      <c r="N1451" s="42"/>
      <c r="O1451" s="42"/>
      <c r="P1451" s="42"/>
      <c r="Q1451" s="42"/>
      <c r="R1451" s="42"/>
      <c r="S1451" s="42"/>
      <c r="T1451" s="42"/>
      <c r="U1451" s="42"/>
    </row>
    <row r="1453" spans="2:23" ht="18.75" customHeight="1">
      <c r="B1453" s="43" t="s">
        <v>163</v>
      </c>
      <c r="C1453" s="51" t="s">
        <v>3511</v>
      </c>
      <c r="D1453" s="90"/>
      <c r="W1453" s="35" t="str">
        <f>"-- "&amp;B1453&amp;" : "&amp;C1453</f>
        <v>-- SQL_ID : 01_C4-30</v>
      </c>
    </row>
    <row r="1454" spans="2:23" ht="18.75" customHeight="1">
      <c r="B1454" s="43" t="s">
        <v>158</v>
      </c>
      <c r="C1454" s="102" t="str">
        <f>R1457&amp;"登録"</f>
        <v>バックアップ_臨床サマリーモジュール_検査結果レコード登録</v>
      </c>
      <c r="D1454" s="103"/>
      <c r="E1454" s="103"/>
      <c r="F1454" s="103"/>
      <c r="G1454" s="103"/>
      <c r="H1454" s="103"/>
      <c r="I1454" s="103"/>
      <c r="J1454" s="103"/>
      <c r="K1454" s="103"/>
      <c r="L1454" s="103"/>
      <c r="M1454" s="103"/>
      <c r="N1454" s="103"/>
      <c r="O1454" s="103"/>
      <c r="P1454" s="103"/>
      <c r="Q1454" s="103"/>
      <c r="R1454" s="103"/>
      <c r="S1454" s="103"/>
      <c r="T1454" s="103"/>
      <c r="U1454" s="104"/>
      <c r="W1454" s="35" t="str">
        <f>"-- "&amp;C1454</f>
        <v>-- バックアップ_臨床サマリーモジュール_検査結果レコード登録</v>
      </c>
    </row>
    <row r="1455" spans="2:23" ht="18.75" customHeight="1">
      <c r="B1455" s="43" t="s">
        <v>159</v>
      </c>
      <c r="C1455" s="105" t="str">
        <f>C1457&amp;"テーブルから組入れ条件の第一条件で絞り込んだ結果を"&amp;R1457&amp;"テーブルに格納する。"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455" s="106"/>
      <c r="E1455" s="106"/>
      <c r="F1455" s="106"/>
      <c r="G1455" s="106"/>
      <c r="H1455" s="106"/>
      <c r="I1455" s="106"/>
      <c r="J1455" s="106"/>
      <c r="K1455" s="106"/>
      <c r="L1455" s="106"/>
      <c r="M1455" s="106"/>
      <c r="N1455" s="106"/>
      <c r="O1455" s="106"/>
      <c r="P1455" s="106"/>
      <c r="Q1455" s="106"/>
      <c r="R1455" s="106"/>
      <c r="S1455" s="106"/>
      <c r="T1455" s="106"/>
      <c r="U1455" s="107"/>
      <c r="W1455" s="35" t="str">
        <f>"-- "&amp;C1455</f>
        <v>-- 臨床サマリーモジュール_検査結果レコード_結合テーブルから組入れ条件の第一条件で絞り込んだ結果をバックアップ_臨床サマリーモジュール_検査結果レコードテーブルに格納する。</v>
      </c>
    </row>
    <row r="1457" spans="2:23" ht="18.75" customHeight="1">
      <c r="C1457" s="96" t="s">
        <v>3512</v>
      </c>
      <c r="D1457" s="97"/>
      <c r="E1457" s="108" t="s">
        <v>162</v>
      </c>
      <c r="H1457" s="36"/>
      <c r="I1457" s="36"/>
      <c r="J1457" s="36"/>
      <c r="K1457" s="36"/>
      <c r="L1457" s="36"/>
      <c r="M1457" s="36"/>
      <c r="N1457" s="36"/>
      <c r="O1457" s="36"/>
      <c r="P1457" s="36"/>
      <c r="Q1457" s="36"/>
      <c r="R1457" s="118" t="str">
        <f>"バックアップ_"&amp;SUBSTITUTE(C1457,"_結合","")</f>
        <v>バックアップ_臨床サマリーモジュール_検査結果レコード</v>
      </c>
      <c r="S1457" s="119"/>
      <c r="T1457" s="100" t="str">
        <f>エンティティ一覧!$O$2</f>
        <v>milscm_2023_010</v>
      </c>
    </row>
    <row r="1458" spans="2:23" ht="18.75" customHeight="1">
      <c r="C1458" s="98"/>
      <c r="D1458" s="99"/>
      <c r="E1458" s="109"/>
      <c r="F1458" s="37"/>
      <c r="G1458" s="38"/>
      <c r="H1458" s="37"/>
      <c r="I1458" s="37"/>
      <c r="J1458" s="37"/>
      <c r="K1458" s="37"/>
      <c r="L1458" s="37"/>
      <c r="M1458" s="37"/>
      <c r="N1458" s="37"/>
      <c r="O1458" s="37"/>
      <c r="P1458" s="37"/>
      <c r="Q1458" s="37"/>
      <c r="R1458" s="120"/>
      <c r="S1458" s="121"/>
      <c r="T1458" s="101"/>
    </row>
    <row r="1459" spans="2:23" ht="18.75" customHeight="1">
      <c r="F1459" s="39"/>
      <c r="G1459" s="40"/>
    </row>
    <row r="1460" spans="2:23" ht="18.75" customHeight="1">
      <c r="C1460" s="96" t="s">
        <v>3229</v>
      </c>
      <c r="D1460" s="97"/>
      <c r="E1460" s="100" t="str">
        <f>エンティティ一覧!$O$2</f>
        <v>milscm_2023_010</v>
      </c>
      <c r="G1460" s="41"/>
    </row>
    <row r="1461" spans="2:23" ht="18.75" customHeight="1">
      <c r="C1461" s="98"/>
      <c r="D1461" s="99"/>
      <c r="E1461" s="101"/>
      <c r="F1461" s="37"/>
    </row>
    <row r="1463" spans="2:23" ht="18.75" customHeight="1" thickBot="1">
      <c r="B1463" s="42"/>
      <c r="C1463" s="42"/>
      <c r="D1463" s="42"/>
      <c r="E1463" s="42"/>
      <c r="F1463" s="42"/>
      <c r="G1463" s="42"/>
      <c r="H1463" s="42"/>
      <c r="I1463" s="42"/>
      <c r="J1463" s="42"/>
      <c r="K1463" s="42"/>
      <c r="L1463" s="42"/>
      <c r="M1463" s="42"/>
      <c r="N1463" s="42"/>
      <c r="O1463" s="42"/>
      <c r="P1463" s="42"/>
      <c r="Q1463" s="42"/>
      <c r="R1463" s="42"/>
      <c r="S1463" s="42"/>
      <c r="T1463" s="42"/>
      <c r="U1463" s="42"/>
    </row>
    <row r="1465" spans="2:23" ht="18.75" customHeight="1">
      <c r="B1465" s="43" t="s">
        <v>163</v>
      </c>
      <c r="C1465" s="51" t="s">
        <v>3513</v>
      </c>
      <c r="D1465" s="90"/>
      <c r="W1465" s="35" t="str">
        <f>"-- "&amp;B1465&amp;" : "&amp;C1465</f>
        <v>-- SQL_ID : 01_C4-31</v>
      </c>
    </row>
    <row r="1466" spans="2:23" ht="18.75" customHeight="1">
      <c r="B1466" s="43" t="s">
        <v>158</v>
      </c>
      <c r="C1466" s="102" t="str">
        <f>R1469&amp;"登録"</f>
        <v>バックアップ_検歴情報モジュール_検歴情報登録</v>
      </c>
      <c r="D1466" s="103"/>
      <c r="E1466" s="103"/>
      <c r="F1466" s="103"/>
      <c r="G1466" s="103"/>
      <c r="H1466" s="103"/>
      <c r="I1466" s="103"/>
      <c r="J1466" s="103"/>
      <c r="K1466" s="103"/>
      <c r="L1466" s="103"/>
      <c r="M1466" s="103"/>
      <c r="N1466" s="103"/>
      <c r="O1466" s="103"/>
      <c r="P1466" s="103"/>
      <c r="Q1466" s="103"/>
      <c r="R1466" s="103"/>
      <c r="S1466" s="103"/>
      <c r="T1466" s="103"/>
      <c r="U1466" s="104"/>
      <c r="W1466" s="35" t="str">
        <f>"-- "&amp;C1466</f>
        <v>-- バックアップ_検歴情報モジュール_検歴情報登録</v>
      </c>
    </row>
    <row r="1467" spans="2:23" ht="18.75" customHeight="1">
      <c r="B1467" s="43" t="s">
        <v>159</v>
      </c>
      <c r="C1467" s="105" t="str">
        <f>C1469&amp;"テーブルから組入れ条件の第一条件で絞り込んだ結果を"&amp;R1469&amp;"テーブルに格納する。"</f>
        <v>検歴情報モジュール_検歴情報_結合テーブルから組入れ条件の第一条件で絞り込んだ結果をバックアップ_検歴情報モジュール_検歴情報テーブルに格納する。</v>
      </c>
      <c r="D1467" s="106"/>
      <c r="E1467" s="106"/>
      <c r="F1467" s="106"/>
      <c r="G1467" s="106"/>
      <c r="H1467" s="106"/>
      <c r="I1467" s="106"/>
      <c r="J1467" s="106"/>
      <c r="K1467" s="106"/>
      <c r="L1467" s="106"/>
      <c r="M1467" s="106"/>
      <c r="N1467" s="106"/>
      <c r="O1467" s="106"/>
      <c r="P1467" s="106"/>
      <c r="Q1467" s="106"/>
      <c r="R1467" s="106"/>
      <c r="S1467" s="106"/>
      <c r="T1467" s="106"/>
      <c r="U1467" s="107"/>
      <c r="W1467" s="35" t="str">
        <f>"-- "&amp;C1467</f>
        <v>-- 検歴情報モジュール_検歴情報_結合テーブルから組入れ条件の第一条件で絞り込んだ結果をバックアップ_検歴情報モジュール_検歴情報テーブルに格納する。</v>
      </c>
    </row>
    <row r="1469" spans="2:23" ht="18.75" customHeight="1">
      <c r="C1469" s="96" t="s">
        <v>3514</v>
      </c>
      <c r="D1469" s="97"/>
      <c r="E1469" s="108" t="s">
        <v>162</v>
      </c>
      <c r="H1469" s="36"/>
      <c r="I1469" s="36"/>
      <c r="J1469" s="36"/>
      <c r="K1469" s="36"/>
      <c r="L1469" s="36"/>
      <c r="M1469" s="36"/>
      <c r="N1469" s="36"/>
      <c r="O1469" s="36"/>
      <c r="P1469" s="36"/>
      <c r="Q1469" s="36"/>
      <c r="R1469" s="96" t="str">
        <f>"バックアップ_"&amp;SUBSTITUTE(C1469,"_結合","")</f>
        <v>バックアップ_検歴情報モジュール_検歴情報</v>
      </c>
      <c r="S1469" s="97"/>
      <c r="T1469" s="100" t="str">
        <f>エンティティ一覧!$O$2</f>
        <v>milscm_2023_010</v>
      </c>
    </row>
    <row r="1470" spans="2:23" ht="18.75" customHeight="1">
      <c r="C1470" s="98"/>
      <c r="D1470" s="99"/>
      <c r="E1470" s="109"/>
      <c r="F1470" s="37"/>
      <c r="G1470" s="38"/>
      <c r="H1470" s="37"/>
      <c r="I1470" s="37"/>
      <c r="J1470" s="37"/>
      <c r="K1470" s="37"/>
      <c r="L1470" s="37"/>
      <c r="M1470" s="37"/>
      <c r="N1470" s="37"/>
      <c r="O1470" s="37"/>
      <c r="P1470" s="37"/>
      <c r="Q1470" s="37"/>
      <c r="R1470" s="98"/>
      <c r="S1470" s="99"/>
      <c r="T1470" s="101"/>
    </row>
    <row r="1471" spans="2:23" ht="18.75" customHeight="1">
      <c r="F1471" s="39"/>
      <c r="G1471" s="40"/>
    </row>
    <row r="1472" spans="2:23" ht="18.75" customHeight="1">
      <c r="C1472" s="96" t="s">
        <v>3229</v>
      </c>
      <c r="D1472" s="97"/>
      <c r="E1472" s="100" t="str">
        <f>エンティティ一覧!$O$2</f>
        <v>milscm_2023_010</v>
      </c>
      <c r="G1472" s="41"/>
    </row>
    <row r="1473" spans="2:23" ht="18.75" customHeight="1">
      <c r="C1473" s="98"/>
      <c r="D1473" s="99"/>
      <c r="E1473" s="101"/>
      <c r="F1473" s="37"/>
    </row>
    <row r="1475" spans="2:23" ht="18.75" customHeight="1" thickBot="1">
      <c r="B1475" s="42"/>
      <c r="C1475" s="42"/>
      <c r="D1475" s="42"/>
      <c r="E1475" s="42"/>
      <c r="F1475" s="42"/>
      <c r="G1475" s="42"/>
      <c r="H1475" s="42"/>
      <c r="I1475" s="42"/>
      <c r="J1475" s="42"/>
      <c r="K1475" s="42"/>
      <c r="L1475" s="42"/>
      <c r="M1475" s="42"/>
      <c r="N1475" s="42"/>
      <c r="O1475" s="42"/>
      <c r="P1475" s="42"/>
      <c r="Q1475" s="42"/>
      <c r="R1475" s="42"/>
      <c r="S1475" s="42"/>
      <c r="T1475" s="42"/>
      <c r="U1475" s="42"/>
    </row>
    <row r="1477" spans="2:23" ht="18.75" customHeight="1">
      <c r="B1477" s="43" t="s">
        <v>163</v>
      </c>
      <c r="C1477" s="51" t="s">
        <v>3515</v>
      </c>
      <c r="D1477" s="90"/>
      <c r="W1477" s="35" t="str">
        <f>"-- "&amp;B1477&amp;" : "&amp;C1477</f>
        <v>-- SQL_ID : 01_C4-33</v>
      </c>
    </row>
    <row r="1478" spans="2:23" ht="18.75" customHeight="1">
      <c r="B1478" s="43" t="s">
        <v>158</v>
      </c>
      <c r="C1478" s="102" t="str">
        <f>R1481&amp;"登録"</f>
        <v>バックアップ_検歴情報モジュール_検歴検体材料登録</v>
      </c>
      <c r="D1478" s="103"/>
      <c r="E1478" s="103"/>
      <c r="F1478" s="103"/>
      <c r="G1478" s="103"/>
      <c r="H1478" s="103"/>
      <c r="I1478" s="103"/>
      <c r="J1478" s="103"/>
      <c r="K1478" s="103"/>
      <c r="L1478" s="103"/>
      <c r="M1478" s="103"/>
      <c r="N1478" s="103"/>
      <c r="O1478" s="103"/>
      <c r="P1478" s="103"/>
      <c r="Q1478" s="103"/>
      <c r="R1478" s="103"/>
      <c r="S1478" s="103"/>
      <c r="T1478" s="103"/>
      <c r="U1478" s="104"/>
      <c r="W1478" s="35" t="str">
        <f>"-- "&amp;C1478</f>
        <v>-- バックアップ_検歴情報モジュール_検歴検体材料登録</v>
      </c>
    </row>
    <row r="1479" spans="2:23" ht="18.75" customHeight="1">
      <c r="B1479" s="43" t="s">
        <v>159</v>
      </c>
      <c r="C1479" s="105" t="str">
        <f>C1481&amp;"テーブルから組入れ条件の第一条件で絞り込んだ結果を"&amp;R1481&amp;"テーブルに格納する。"</f>
        <v>検歴情報モジュール_検歴検体材料_結合テーブルから組入れ条件の第一条件で絞り込んだ結果をバックアップ_検歴情報モジュール_検歴検体材料テーブルに格納する。</v>
      </c>
      <c r="D1479" s="106"/>
      <c r="E1479" s="106"/>
      <c r="F1479" s="106"/>
      <c r="G1479" s="106"/>
      <c r="H1479" s="106"/>
      <c r="I1479" s="106"/>
      <c r="J1479" s="106"/>
      <c r="K1479" s="106"/>
      <c r="L1479" s="106"/>
      <c r="M1479" s="106"/>
      <c r="N1479" s="106"/>
      <c r="O1479" s="106"/>
      <c r="P1479" s="106"/>
      <c r="Q1479" s="106"/>
      <c r="R1479" s="106"/>
      <c r="S1479" s="106"/>
      <c r="T1479" s="106"/>
      <c r="U1479" s="107"/>
      <c r="W1479" s="35" t="str">
        <f>"-- "&amp;C1479</f>
        <v>-- 検歴情報モジュール_検歴検体材料_結合テーブルから組入れ条件の第一条件で絞り込んだ結果をバックアップ_検歴情報モジュール_検歴検体材料テーブルに格納する。</v>
      </c>
    </row>
    <row r="1481" spans="2:23" ht="18.75" customHeight="1">
      <c r="C1481" s="96" t="s">
        <v>3516</v>
      </c>
      <c r="D1481" s="97"/>
      <c r="E1481" s="108" t="s">
        <v>162</v>
      </c>
      <c r="H1481" s="36"/>
      <c r="I1481" s="36"/>
      <c r="J1481" s="36"/>
      <c r="K1481" s="36"/>
      <c r="L1481" s="36"/>
      <c r="M1481" s="36"/>
      <c r="N1481" s="36"/>
      <c r="O1481" s="36"/>
      <c r="P1481" s="36"/>
      <c r="Q1481" s="36"/>
      <c r="R1481" s="96" t="str">
        <f>"バックアップ_"&amp;SUBSTITUTE(C1481,"_結合","")</f>
        <v>バックアップ_検歴情報モジュール_検歴検体材料</v>
      </c>
      <c r="S1481" s="97"/>
      <c r="T1481" s="100" t="str">
        <f>エンティティ一覧!$O$2</f>
        <v>milscm_2023_010</v>
      </c>
    </row>
    <row r="1482" spans="2:23" ht="18.75" customHeight="1">
      <c r="C1482" s="98"/>
      <c r="D1482" s="99"/>
      <c r="E1482" s="109"/>
      <c r="F1482" s="37"/>
      <c r="G1482" s="38"/>
      <c r="H1482" s="37"/>
      <c r="I1482" s="37"/>
      <c r="J1482" s="37"/>
      <c r="K1482" s="37"/>
      <c r="L1482" s="37"/>
      <c r="M1482" s="37"/>
      <c r="N1482" s="37"/>
      <c r="O1482" s="37"/>
      <c r="P1482" s="37"/>
      <c r="Q1482" s="37"/>
      <c r="R1482" s="98"/>
      <c r="S1482" s="99"/>
      <c r="T1482" s="101"/>
    </row>
    <row r="1483" spans="2:23" ht="18.75" customHeight="1">
      <c r="F1483" s="39"/>
      <c r="G1483" s="40"/>
    </row>
    <row r="1484" spans="2:23" ht="18.75" customHeight="1">
      <c r="C1484" s="96" t="s">
        <v>3229</v>
      </c>
      <c r="D1484" s="97"/>
      <c r="E1484" s="100" t="str">
        <f>エンティティ一覧!$O$2</f>
        <v>milscm_2023_010</v>
      </c>
      <c r="G1484" s="41"/>
    </row>
    <row r="1485" spans="2:23" ht="18.75" customHeight="1">
      <c r="C1485" s="98"/>
      <c r="D1485" s="99"/>
      <c r="E1485" s="101"/>
      <c r="F1485" s="37"/>
    </row>
    <row r="1487" spans="2:23" ht="18.75" customHeight="1" thickBot="1">
      <c r="B1487" s="42"/>
      <c r="C1487" s="42"/>
      <c r="D1487" s="42"/>
      <c r="E1487" s="42"/>
      <c r="F1487" s="42"/>
      <c r="G1487" s="42"/>
      <c r="H1487" s="42"/>
      <c r="I1487" s="42"/>
      <c r="J1487" s="42"/>
      <c r="K1487" s="42"/>
      <c r="L1487" s="42"/>
      <c r="M1487" s="42"/>
      <c r="N1487" s="42"/>
      <c r="O1487" s="42"/>
      <c r="P1487" s="42"/>
      <c r="Q1487" s="42"/>
      <c r="R1487" s="42"/>
      <c r="S1487" s="42"/>
      <c r="T1487" s="42"/>
      <c r="U1487" s="42"/>
    </row>
    <row r="1489" spans="2:23" ht="18.75" customHeight="1">
      <c r="B1489" s="43" t="s">
        <v>163</v>
      </c>
      <c r="C1489" s="51" t="s">
        <v>3517</v>
      </c>
      <c r="D1489" s="90"/>
      <c r="W1489" s="35" t="str">
        <f>"-- "&amp;B1489&amp;" : "&amp;C1489</f>
        <v>-- SQL_ID : 01_C4-35</v>
      </c>
    </row>
    <row r="1490" spans="2:23" ht="18.75" customHeight="1">
      <c r="B1490" s="43" t="s">
        <v>158</v>
      </c>
      <c r="C1490" s="102" t="str">
        <f>R1493&amp;"登録"</f>
        <v>バックアップ_検歴情報モジュール_検歴項目情報登録</v>
      </c>
      <c r="D1490" s="103"/>
      <c r="E1490" s="103"/>
      <c r="F1490" s="103"/>
      <c r="G1490" s="103"/>
      <c r="H1490" s="103"/>
      <c r="I1490" s="103"/>
      <c r="J1490" s="103"/>
      <c r="K1490" s="103"/>
      <c r="L1490" s="103"/>
      <c r="M1490" s="103"/>
      <c r="N1490" s="103"/>
      <c r="O1490" s="103"/>
      <c r="P1490" s="103"/>
      <c r="Q1490" s="103"/>
      <c r="R1490" s="103"/>
      <c r="S1490" s="103"/>
      <c r="T1490" s="103"/>
      <c r="U1490" s="104"/>
      <c r="W1490" s="35" t="str">
        <f>"-- "&amp;C1490</f>
        <v>-- バックアップ_検歴情報モジュール_検歴項目情報登録</v>
      </c>
    </row>
    <row r="1491" spans="2:23" ht="18.75" customHeight="1">
      <c r="B1491" s="43" t="s">
        <v>159</v>
      </c>
      <c r="C1491" s="105" t="str">
        <f>C1493&amp;"テーブルから組入れ条件の第一条件で絞り込んだ結果を"&amp;R1493&amp;"テーブルに格納する。"</f>
        <v>検歴情報モジュール_検歴項目情報_結合テーブルから組入れ条件の第一条件で絞り込んだ結果をバックアップ_検歴情報モジュール_検歴項目情報テーブルに格納する。</v>
      </c>
      <c r="D1491" s="106"/>
      <c r="E1491" s="106"/>
      <c r="F1491" s="106"/>
      <c r="G1491" s="106"/>
      <c r="H1491" s="106"/>
      <c r="I1491" s="106"/>
      <c r="J1491" s="106"/>
      <c r="K1491" s="106"/>
      <c r="L1491" s="106"/>
      <c r="M1491" s="106"/>
      <c r="N1491" s="106"/>
      <c r="O1491" s="106"/>
      <c r="P1491" s="106"/>
      <c r="Q1491" s="106"/>
      <c r="R1491" s="106"/>
      <c r="S1491" s="106"/>
      <c r="T1491" s="106"/>
      <c r="U1491" s="107"/>
      <c r="W1491" s="35" t="str">
        <f>"-- "&amp;C1491</f>
        <v>-- 検歴情報モジュール_検歴項目情報_結合テーブルから組入れ条件の第一条件で絞り込んだ結果をバックアップ_検歴情報モジュール_検歴項目情報テーブルに格納する。</v>
      </c>
    </row>
    <row r="1493" spans="2:23" ht="18.75" customHeight="1">
      <c r="C1493" s="96" t="s">
        <v>3518</v>
      </c>
      <c r="D1493" s="97"/>
      <c r="E1493" s="108" t="s">
        <v>162</v>
      </c>
      <c r="H1493" s="36"/>
      <c r="I1493" s="36"/>
      <c r="J1493" s="36"/>
      <c r="K1493" s="36"/>
      <c r="L1493" s="36"/>
      <c r="M1493" s="36"/>
      <c r="N1493" s="36"/>
      <c r="O1493" s="36"/>
      <c r="P1493" s="36"/>
      <c r="Q1493" s="36"/>
      <c r="R1493" s="96" t="str">
        <f>"バックアップ_"&amp;SUBSTITUTE(C1493,"_結合","")</f>
        <v>バックアップ_検歴情報モジュール_検歴項目情報</v>
      </c>
      <c r="S1493" s="97"/>
      <c r="T1493" s="100" t="str">
        <f>エンティティ一覧!$O$2</f>
        <v>milscm_2023_010</v>
      </c>
    </row>
    <row r="1494" spans="2:23" ht="18.75" customHeight="1">
      <c r="C1494" s="98"/>
      <c r="D1494" s="99"/>
      <c r="E1494" s="109"/>
      <c r="F1494" s="37"/>
      <c r="G1494" s="38"/>
      <c r="H1494" s="37"/>
      <c r="I1494" s="37"/>
      <c r="J1494" s="37"/>
      <c r="K1494" s="37"/>
      <c r="L1494" s="37"/>
      <c r="M1494" s="37"/>
      <c r="N1494" s="37"/>
      <c r="O1494" s="37"/>
      <c r="P1494" s="37"/>
      <c r="Q1494" s="37"/>
      <c r="R1494" s="98"/>
      <c r="S1494" s="99"/>
      <c r="T1494" s="101"/>
    </row>
    <row r="1495" spans="2:23" ht="18.75" customHeight="1">
      <c r="F1495" s="39"/>
      <c r="G1495" s="40"/>
    </row>
    <row r="1496" spans="2:23" ht="18.75" customHeight="1">
      <c r="C1496" s="96" t="s">
        <v>3229</v>
      </c>
      <c r="D1496" s="97"/>
      <c r="E1496" s="100" t="str">
        <f>エンティティ一覧!$O$2</f>
        <v>milscm_2023_010</v>
      </c>
      <c r="G1496" s="41"/>
    </row>
    <row r="1497" spans="2:23" ht="18.75" customHeight="1">
      <c r="C1497" s="98"/>
      <c r="D1497" s="99"/>
      <c r="E1497" s="101"/>
      <c r="F1497" s="37"/>
    </row>
    <row r="1499" spans="2:23" ht="18.75" customHeight="1" thickBot="1">
      <c r="B1499" s="42"/>
      <c r="C1499" s="42"/>
      <c r="D1499" s="42"/>
      <c r="E1499" s="42"/>
      <c r="F1499" s="42"/>
      <c r="G1499" s="42"/>
      <c r="H1499" s="42"/>
      <c r="I1499" s="42"/>
      <c r="J1499" s="42"/>
      <c r="K1499" s="42"/>
      <c r="L1499" s="42"/>
      <c r="M1499" s="42"/>
      <c r="N1499" s="42"/>
      <c r="O1499" s="42"/>
      <c r="P1499" s="42"/>
      <c r="Q1499" s="42"/>
      <c r="R1499" s="42"/>
      <c r="S1499" s="42"/>
      <c r="T1499" s="42"/>
      <c r="U1499" s="42"/>
    </row>
    <row r="1501" spans="2:23" ht="18.75" customHeight="1">
      <c r="B1501" s="43" t="s">
        <v>163</v>
      </c>
      <c r="C1501" s="51" t="s">
        <v>3519</v>
      </c>
      <c r="D1501" s="90"/>
      <c r="W1501" s="35" t="str">
        <f>"-- "&amp;B1501&amp;" : "&amp;C1501</f>
        <v>-- SQL_ID : 01_C4-37</v>
      </c>
    </row>
    <row r="1502" spans="2:23" ht="18.75" customHeight="1">
      <c r="B1502" s="43" t="s">
        <v>158</v>
      </c>
      <c r="C1502" s="102" t="str">
        <f>R1505&amp;"登録"</f>
        <v>バックアップ_バイタルサインモジュール_バイタルサイン登録</v>
      </c>
      <c r="D1502" s="103"/>
      <c r="E1502" s="103"/>
      <c r="F1502" s="103"/>
      <c r="G1502" s="103"/>
      <c r="H1502" s="103"/>
      <c r="I1502" s="103"/>
      <c r="J1502" s="103"/>
      <c r="K1502" s="103"/>
      <c r="L1502" s="103"/>
      <c r="M1502" s="103"/>
      <c r="N1502" s="103"/>
      <c r="O1502" s="103"/>
      <c r="P1502" s="103"/>
      <c r="Q1502" s="103"/>
      <c r="R1502" s="103"/>
      <c r="S1502" s="103"/>
      <c r="T1502" s="103"/>
      <c r="U1502" s="104"/>
      <c r="W1502" s="35" t="str">
        <f>"-- "&amp;C1502</f>
        <v>-- バックアップ_バイタルサインモジュール_バイタルサイン登録</v>
      </c>
    </row>
    <row r="1503" spans="2:23" ht="18.75" customHeight="1">
      <c r="B1503" s="43" t="s">
        <v>159</v>
      </c>
      <c r="C1503" s="105" t="str">
        <f>C1505&amp;"テーブルから組入れ条件の第一条件で絞り込んだ結果を"&amp;R1505&amp;"テーブルに格納する。"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03" s="106"/>
      <c r="E1503" s="106"/>
      <c r="F1503" s="106"/>
      <c r="G1503" s="106"/>
      <c r="H1503" s="106"/>
      <c r="I1503" s="106"/>
      <c r="J1503" s="106"/>
      <c r="K1503" s="106"/>
      <c r="L1503" s="106"/>
      <c r="M1503" s="106"/>
      <c r="N1503" s="106"/>
      <c r="O1503" s="106"/>
      <c r="P1503" s="106"/>
      <c r="Q1503" s="106"/>
      <c r="R1503" s="106"/>
      <c r="S1503" s="106"/>
      <c r="T1503" s="106"/>
      <c r="U1503" s="107"/>
      <c r="W1503" s="35" t="str">
        <f>"-- "&amp;C1503</f>
        <v>-- バイタルサインモジュール_バイタルサイン_結合テーブルから組入れ条件の第一条件で絞り込んだ結果をバックアップ_バイタルサインモジュール_バイタルサインテーブルに格納する。</v>
      </c>
    </row>
    <row r="1505" spans="2:23" ht="18.75" customHeight="1">
      <c r="C1505" s="96" t="s">
        <v>3520</v>
      </c>
      <c r="D1505" s="97"/>
      <c r="E1505" s="108" t="s">
        <v>162</v>
      </c>
      <c r="H1505" s="36"/>
      <c r="I1505" s="36"/>
      <c r="J1505" s="36"/>
      <c r="K1505" s="36"/>
      <c r="L1505" s="36"/>
      <c r="M1505" s="36"/>
      <c r="N1505" s="36"/>
      <c r="O1505" s="36"/>
      <c r="P1505" s="36"/>
      <c r="Q1505" s="36"/>
      <c r="R1505" s="114" t="str">
        <f>"バックアップ_"&amp;SUBSTITUTE(C1505,"_結合","")</f>
        <v>バックアップ_バイタルサインモジュール_バイタルサイン</v>
      </c>
      <c r="S1505" s="115"/>
      <c r="T1505" s="100" t="str">
        <f>エンティティ一覧!$O$2</f>
        <v>milscm_2023_010</v>
      </c>
    </row>
    <row r="1506" spans="2:23" ht="18.75" customHeight="1">
      <c r="C1506" s="98"/>
      <c r="D1506" s="99"/>
      <c r="E1506" s="109"/>
      <c r="F1506" s="37"/>
      <c r="G1506" s="38"/>
      <c r="H1506" s="37"/>
      <c r="I1506" s="37"/>
      <c r="J1506" s="37"/>
      <c r="K1506" s="37"/>
      <c r="L1506" s="37"/>
      <c r="M1506" s="37"/>
      <c r="N1506" s="37"/>
      <c r="O1506" s="37"/>
      <c r="P1506" s="37"/>
      <c r="Q1506" s="37"/>
      <c r="R1506" s="116"/>
      <c r="S1506" s="117"/>
      <c r="T1506" s="101"/>
    </row>
    <row r="1507" spans="2:23" ht="18.75" customHeight="1">
      <c r="F1507" s="39"/>
      <c r="G1507" s="40"/>
    </row>
    <row r="1508" spans="2:23" ht="18.75" customHeight="1">
      <c r="C1508" s="96" t="s">
        <v>3229</v>
      </c>
      <c r="D1508" s="97"/>
      <c r="E1508" s="100" t="str">
        <f>エンティティ一覧!$O$2</f>
        <v>milscm_2023_010</v>
      </c>
      <c r="G1508" s="41"/>
    </row>
    <row r="1509" spans="2:23" ht="18.75" customHeight="1">
      <c r="C1509" s="98"/>
      <c r="D1509" s="99"/>
      <c r="E1509" s="101"/>
      <c r="F1509" s="37"/>
    </row>
    <row r="1511" spans="2:23" ht="18.75" customHeight="1" thickBot="1">
      <c r="B1511" s="42"/>
      <c r="C1511" s="42"/>
      <c r="D1511" s="42"/>
      <c r="E1511" s="42"/>
      <c r="F1511" s="42"/>
      <c r="G1511" s="42"/>
      <c r="H1511" s="42"/>
      <c r="I1511" s="42"/>
      <c r="J1511" s="42"/>
      <c r="K1511" s="42"/>
      <c r="L1511" s="42"/>
      <c r="M1511" s="42"/>
      <c r="N1511" s="42"/>
      <c r="O1511" s="42"/>
      <c r="P1511" s="42"/>
      <c r="Q1511" s="42"/>
      <c r="R1511" s="42"/>
      <c r="S1511" s="42"/>
      <c r="T1511" s="42"/>
      <c r="U1511" s="42"/>
    </row>
    <row r="1513" spans="2:23" ht="18.75" customHeight="1">
      <c r="B1513" s="43" t="s">
        <v>163</v>
      </c>
      <c r="C1513" s="51" t="s">
        <v>3521</v>
      </c>
      <c r="D1513" s="90"/>
      <c r="W1513" s="35" t="str">
        <f>"-- "&amp;B1513&amp;" : "&amp;C1513</f>
        <v>-- SQL_ID : 01_C4-38</v>
      </c>
    </row>
    <row r="1514" spans="2:23" ht="18.75" customHeight="1">
      <c r="B1514" s="43" t="s">
        <v>158</v>
      </c>
      <c r="C1514" s="102" t="str">
        <f>R1517&amp;"登録"</f>
        <v>バックアップ_バイタルサインモジュール_記録項目登録</v>
      </c>
      <c r="D1514" s="103"/>
      <c r="E1514" s="103"/>
      <c r="F1514" s="103"/>
      <c r="G1514" s="103"/>
      <c r="H1514" s="103"/>
      <c r="I1514" s="103"/>
      <c r="J1514" s="103"/>
      <c r="K1514" s="103"/>
      <c r="L1514" s="103"/>
      <c r="M1514" s="103"/>
      <c r="N1514" s="103"/>
      <c r="O1514" s="103"/>
      <c r="P1514" s="103"/>
      <c r="Q1514" s="103"/>
      <c r="R1514" s="103"/>
      <c r="S1514" s="103"/>
      <c r="T1514" s="103"/>
      <c r="U1514" s="104"/>
      <c r="W1514" s="35" t="str">
        <f>"-- "&amp;C1514</f>
        <v>-- バックアップ_バイタルサインモジュール_記録項目登録</v>
      </c>
    </row>
    <row r="1515" spans="2:23" ht="18.75" customHeight="1">
      <c r="B1515" s="43" t="s">
        <v>159</v>
      </c>
      <c r="C1515" s="105" t="str">
        <f>C1517&amp;"テーブルから組入れ条件の第一条件で絞り込んだ結果を"&amp;R1517&amp;"テーブルに格納する。"</f>
        <v>バイタルサインモジュール_記録項目_結合テーブルから組入れ条件の第一条件で絞り込んだ結果をバックアップ_バイタルサインモジュール_記録項目テーブルに格納する。</v>
      </c>
      <c r="D1515" s="106"/>
      <c r="E1515" s="106"/>
      <c r="F1515" s="106"/>
      <c r="G1515" s="106"/>
      <c r="H1515" s="106"/>
      <c r="I1515" s="106"/>
      <c r="J1515" s="106"/>
      <c r="K1515" s="106"/>
      <c r="L1515" s="106"/>
      <c r="M1515" s="106"/>
      <c r="N1515" s="106"/>
      <c r="O1515" s="106"/>
      <c r="P1515" s="106"/>
      <c r="Q1515" s="106"/>
      <c r="R1515" s="106"/>
      <c r="S1515" s="106"/>
      <c r="T1515" s="106"/>
      <c r="U1515" s="107"/>
      <c r="W1515" s="35" t="str">
        <f>"-- "&amp;C1515</f>
        <v>-- バイタルサインモジュール_記録項目_結合テーブルから組入れ条件の第一条件で絞り込んだ結果をバックアップ_バイタルサインモジュール_記録項目テーブルに格納する。</v>
      </c>
    </row>
    <row r="1517" spans="2:23" ht="18.75" customHeight="1">
      <c r="C1517" s="96" t="s">
        <v>3522</v>
      </c>
      <c r="D1517" s="97"/>
      <c r="E1517" s="108" t="s">
        <v>162</v>
      </c>
      <c r="H1517" s="36"/>
      <c r="I1517" s="36"/>
      <c r="J1517" s="36"/>
      <c r="K1517" s="36"/>
      <c r="L1517" s="36"/>
      <c r="M1517" s="36"/>
      <c r="N1517" s="36"/>
      <c r="O1517" s="36"/>
      <c r="P1517" s="36"/>
      <c r="Q1517" s="36"/>
      <c r="R1517" s="114" t="str">
        <f>"バックアップ_"&amp;SUBSTITUTE(C1517,"_結合","")</f>
        <v>バックアップ_バイタルサインモジュール_記録項目</v>
      </c>
      <c r="S1517" s="115"/>
      <c r="T1517" s="100" t="str">
        <f>エンティティ一覧!$O$2</f>
        <v>milscm_2023_010</v>
      </c>
    </row>
    <row r="1518" spans="2:23" ht="18.75" customHeight="1">
      <c r="C1518" s="98"/>
      <c r="D1518" s="99"/>
      <c r="E1518" s="109"/>
      <c r="F1518" s="37"/>
      <c r="G1518" s="38"/>
      <c r="H1518" s="37"/>
      <c r="I1518" s="37"/>
      <c r="J1518" s="37"/>
      <c r="K1518" s="37"/>
      <c r="L1518" s="37"/>
      <c r="M1518" s="37"/>
      <c r="N1518" s="37"/>
      <c r="O1518" s="37"/>
      <c r="P1518" s="37"/>
      <c r="Q1518" s="37"/>
      <c r="R1518" s="116"/>
      <c r="S1518" s="117"/>
      <c r="T1518" s="101"/>
    </row>
    <row r="1519" spans="2:23" ht="18.75" customHeight="1">
      <c r="F1519" s="39"/>
      <c r="G1519" s="40"/>
    </row>
    <row r="1520" spans="2:23" ht="18.75" customHeight="1">
      <c r="C1520" s="96" t="s">
        <v>3229</v>
      </c>
      <c r="D1520" s="97"/>
      <c r="E1520" s="100" t="str">
        <f>エンティティ一覧!$O$2</f>
        <v>milscm_2023_010</v>
      </c>
      <c r="G1520" s="41"/>
    </row>
    <row r="1521" spans="2:23" ht="18.75" customHeight="1">
      <c r="C1521" s="98"/>
      <c r="D1521" s="99"/>
      <c r="E1521" s="101"/>
      <c r="F1521" s="37"/>
    </row>
    <row r="1523" spans="2:23" ht="18.75" customHeight="1" thickBot="1">
      <c r="B1523" s="42"/>
      <c r="C1523" s="42"/>
      <c r="D1523" s="42"/>
      <c r="E1523" s="42"/>
      <c r="F1523" s="42"/>
      <c r="G1523" s="42"/>
      <c r="H1523" s="42"/>
      <c r="I1523" s="42"/>
      <c r="J1523" s="42"/>
      <c r="K1523" s="42"/>
      <c r="L1523" s="42"/>
      <c r="M1523" s="42"/>
      <c r="N1523" s="42"/>
      <c r="O1523" s="42"/>
      <c r="P1523" s="42"/>
      <c r="Q1523" s="42"/>
      <c r="R1523" s="42"/>
      <c r="S1523" s="42"/>
      <c r="T1523" s="42"/>
      <c r="U1523" s="42"/>
    </row>
    <row r="1525" spans="2:23" ht="18.75" customHeight="1">
      <c r="B1525" s="43" t="s">
        <v>163</v>
      </c>
      <c r="C1525" s="51" t="s">
        <v>3523</v>
      </c>
      <c r="D1525" s="90"/>
      <c r="W1525" s="35" t="str">
        <f>"-- "&amp;B1525&amp;" : "&amp;C1525</f>
        <v>-- SQL_ID : 01_C4-40</v>
      </c>
    </row>
    <row r="1526" spans="2:23" ht="18.75" customHeight="1">
      <c r="B1526" s="43" t="s">
        <v>158</v>
      </c>
      <c r="C1526" s="102" t="str">
        <f>R1529&amp;"登録"</f>
        <v>バックアップ_体温表モジュール_バイタルサイン登録</v>
      </c>
      <c r="D1526" s="103"/>
      <c r="E1526" s="103"/>
      <c r="F1526" s="103"/>
      <c r="G1526" s="103"/>
      <c r="H1526" s="103"/>
      <c r="I1526" s="103"/>
      <c r="J1526" s="103"/>
      <c r="K1526" s="103"/>
      <c r="L1526" s="103"/>
      <c r="M1526" s="103"/>
      <c r="N1526" s="103"/>
      <c r="O1526" s="103"/>
      <c r="P1526" s="103"/>
      <c r="Q1526" s="103"/>
      <c r="R1526" s="103"/>
      <c r="S1526" s="103"/>
      <c r="T1526" s="103"/>
      <c r="U1526" s="104"/>
      <c r="W1526" s="35" t="str">
        <f>"-- "&amp;C1526</f>
        <v>-- バックアップ_体温表モジュール_バイタルサイン登録</v>
      </c>
    </row>
    <row r="1527" spans="2:23" ht="18.75" customHeight="1">
      <c r="B1527" s="43" t="s">
        <v>159</v>
      </c>
      <c r="C1527" s="105" t="str">
        <f>C1529&amp;"テーブルから組入れ条件の第一条件で絞り込んだ結果を"&amp;R1529&amp;"テーブルに格納する。"</f>
        <v>体温表モジュール_バイタルサイン_結合テーブルから組入れ条件の第一条件で絞り込んだ結果をバックアップ_体温表モジュール_バイタルサインテーブルに格納する。</v>
      </c>
      <c r="D1527" s="106"/>
      <c r="E1527" s="106"/>
      <c r="F1527" s="106"/>
      <c r="G1527" s="106"/>
      <c r="H1527" s="106"/>
      <c r="I1527" s="106"/>
      <c r="J1527" s="106"/>
      <c r="K1527" s="106"/>
      <c r="L1527" s="106"/>
      <c r="M1527" s="106"/>
      <c r="N1527" s="106"/>
      <c r="O1527" s="106"/>
      <c r="P1527" s="106"/>
      <c r="Q1527" s="106"/>
      <c r="R1527" s="106"/>
      <c r="S1527" s="106"/>
      <c r="T1527" s="106"/>
      <c r="U1527" s="107"/>
      <c r="W1527" s="35" t="str">
        <f>"-- "&amp;C1527</f>
        <v>-- 体温表モジュール_バイタルサイン_結合テーブルから組入れ条件の第一条件で絞り込んだ結果をバックアップ_体温表モジュール_バイタルサインテーブルに格納する。</v>
      </c>
    </row>
    <row r="1529" spans="2:23" ht="18.75" customHeight="1">
      <c r="C1529" s="96" t="s">
        <v>3524</v>
      </c>
      <c r="D1529" s="97"/>
      <c r="E1529" s="108" t="s">
        <v>162</v>
      </c>
      <c r="H1529" s="36"/>
      <c r="I1529" s="36"/>
      <c r="J1529" s="36"/>
      <c r="K1529" s="36"/>
      <c r="L1529" s="36"/>
      <c r="M1529" s="36"/>
      <c r="N1529" s="36"/>
      <c r="O1529" s="36"/>
      <c r="P1529" s="36"/>
      <c r="Q1529" s="36"/>
      <c r="R1529" s="114" t="str">
        <f>"バックアップ_"&amp;SUBSTITUTE(C1529,"_結合","")</f>
        <v>バックアップ_体温表モジュール_バイタルサイン</v>
      </c>
      <c r="S1529" s="115"/>
      <c r="T1529" s="100" t="str">
        <f>エンティティ一覧!$O$2</f>
        <v>milscm_2023_010</v>
      </c>
    </row>
    <row r="1530" spans="2:23" ht="18.75" customHeight="1">
      <c r="C1530" s="98"/>
      <c r="D1530" s="99"/>
      <c r="E1530" s="109"/>
      <c r="F1530" s="37"/>
      <c r="G1530" s="38"/>
      <c r="H1530" s="37"/>
      <c r="I1530" s="37"/>
      <c r="J1530" s="37"/>
      <c r="K1530" s="37"/>
      <c r="L1530" s="37"/>
      <c r="M1530" s="37"/>
      <c r="N1530" s="37"/>
      <c r="O1530" s="37"/>
      <c r="P1530" s="37"/>
      <c r="Q1530" s="37"/>
      <c r="R1530" s="116"/>
      <c r="S1530" s="117"/>
      <c r="T1530" s="101"/>
    </row>
    <row r="1531" spans="2:23" ht="18.75" customHeight="1">
      <c r="F1531" s="39"/>
      <c r="G1531" s="40"/>
    </row>
    <row r="1532" spans="2:23" ht="18.75" customHeight="1">
      <c r="C1532" s="96" t="s">
        <v>3229</v>
      </c>
      <c r="D1532" s="97"/>
      <c r="E1532" s="100" t="str">
        <f>エンティティ一覧!$O$2</f>
        <v>milscm_2023_010</v>
      </c>
      <c r="G1532" s="41"/>
    </row>
    <row r="1533" spans="2:23" ht="18.75" customHeight="1">
      <c r="C1533" s="98"/>
      <c r="D1533" s="99"/>
      <c r="E1533" s="101"/>
      <c r="F1533" s="37"/>
    </row>
    <row r="1535" spans="2:23" ht="18.75" customHeight="1" thickBot="1">
      <c r="B1535" s="42"/>
      <c r="C1535" s="42"/>
      <c r="D1535" s="42"/>
      <c r="E1535" s="42"/>
      <c r="F1535" s="42"/>
      <c r="G1535" s="42"/>
      <c r="H1535" s="42"/>
      <c r="I1535" s="42"/>
      <c r="J1535" s="42"/>
      <c r="K1535" s="42"/>
      <c r="L1535" s="42"/>
      <c r="M1535" s="42"/>
      <c r="N1535" s="42"/>
      <c r="O1535" s="42"/>
      <c r="P1535" s="42"/>
      <c r="Q1535" s="42"/>
      <c r="R1535" s="42"/>
      <c r="S1535" s="42"/>
      <c r="T1535" s="42"/>
      <c r="U1535" s="42"/>
    </row>
    <row r="1537" spans="2:23" ht="18.75" customHeight="1">
      <c r="B1537" s="43" t="s">
        <v>163</v>
      </c>
      <c r="C1537" s="51" t="s">
        <v>3525</v>
      </c>
      <c r="D1537" s="90"/>
      <c r="W1537" s="35" t="str">
        <f>"-- "&amp;B1537&amp;" : "&amp;C1537</f>
        <v>-- SQL_ID : 01_C4-41</v>
      </c>
    </row>
    <row r="1538" spans="2:23" ht="18.75" customHeight="1">
      <c r="B1538" s="43" t="s">
        <v>158</v>
      </c>
      <c r="C1538" s="102" t="str">
        <f>R1541&amp;"登録"</f>
        <v>バックアップ_体温表モジュール_記録項目登録</v>
      </c>
      <c r="D1538" s="103"/>
      <c r="E1538" s="103"/>
      <c r="F1538" s="103"/>
      <c r="G1538" s="103"/>
      <c r="H1538" s="103"/>
      <c r="I1538" s="103"/>
      <c r="J1538" s="103"/>
      <c r="K1538" s="103"/>
      <c r="L1538" s="103"/>
      <c r="M1538" s="103"/>
      <c r="N1538" s="103"/>
      <c r="O1538" s="103"/>
      <c r="P1538" s="103"/>
      <c r="Q1538" s="103"/>
      <c r="R1538" s="103"/>
      <c r="S1538" s="103"/>
      <c r="T1538" s="103"/>
      <c r="U1538" s="104"/>
      <c r="W1538" s="35" t="str">
        <f>"-- "&amp;C1538</f>
        <v>-- バックアップ_体温表モジュール_記録項目登録</v>
      </c>
    </row>
    <row r="1539" spans="2:23" ht="18.75" customHeight="1">
      <c r="B1539" s="43" t="s">
        <v>159</v>
      </c>
      <c r="C1539" s="105" t="str">
        <f>C1541&amp;"テーブルから組入れ条件の第一条件で絞り込んだ結果を"&amp;R1541&amp;"テーブルに格納する。"</f>
        <v>体温表モジュール_記録項目_結合テーブルから組入れ条件の第一条件で絞り込んだ結果をバックアップ_体温表モジュール_記録項目テーブルに格納する。</v>
      </c>
      <c r="D1539" s="106"/>
      <c r="E1539" s="106"/>
      <c r="F1539" s="106"/>
      <c r="G1539" s="106"/>
      <c r="H1539" s="106"/>
      <c r="I1539" s="106"/>
      <c r="J1539" s="106"/>
      <c r="K1539" s="106"/>
      <c r="L1539" s="106"/>
      <c r="M1539" s="106"/>
      <c r="N1539" s="106"/>
      <c r="O1539" s="106"/>
      <c r="P1539" s="106"/>
      <c r="Q1539" s="106"/>
      <c r="R1539" s="106"/>
      <c r="S1539" s="106"/>
      <c r="T1539" s="106"/>
      <c r="U1539" s="107"/>
      <c r="W1539" s="35" t="str">
        <f>"-- "&amp;C1539</f>
        <v>-- 体温表モジュール_記録項目_結合テーブルから組入れ条件の第一条件で絞り込んだ結果をバックアップ_体温表モジュール_記録項目テーブルに格納する。</v>
      </c>
    </row>
    <row r="1541" spans="2:23" ht="18.75" customHeight="1">
      <c r="C1541" s="96" t="s">
        <v>3526</v>
      </c>
      <c r="D1541" s="97"/>
      <c r="E1541" s="108" t="s">
        <v>162</v>
      </c>
      <c r="H1541" s="36"/>
      <c r="I1541" s="36"/>
      <c r="J1541" s="36"/>
      <c r="K1541" s="36"/>
      <c r="L1541" s="36"/>
      <c r="M1541" s="36"/>
      <c r="N1541" s="36"/>
      <c r="O1541" s="36"/>
      <c r="P1541" s="36"/>
      <c r="Q1541" s="36"/>
      <c r="R1541" s="114" t="str">
        <f>"バックアップ_"&amp;SUBSTITUTE(C1541,"_結合","")</f>
        <v>バックアップ_体温表モジュール_記録項目</v>
      </c>
      <c r="S1541" s="115"/>
      <c r="T1541" s="100" t="str">
        <f>エンティティ一覧!$O$2</f>
        <v>milscm_2023_010</v>
      </c>
    </row>
    <row r="1542" spans="2:23" ht="18.75" customHeight="1">
      <c r="C1542" s="98"/>
      <c r="D1542" s="99"/>
      <c r="E1542" s="109"/>
      <c r="F1542" s="37"/>
      <c r="G1542" s="38"/>
      <c r="H1542" s="37"/>
      <c r="I1542" s="37"/>
      <c r="J1542" s="37"/>
      <c r="K1542" s="37"/>
      <c r="L1542" s="37"/>
      <c r="M1542" s="37"/>
      <c r="N1542" s="37"/>
      <c r="O1542" s="37"/>
      <c r="P1542" s="37"/>
      <c r="Q1542" s="37"/>
      <c r="R1542" s="116"/>
      <c r="S1542" s="117"/>
      <c r="T1542" s="101"/>
    </row>
    <row r="1543" spans="2:23" ht="18.75" customHeight="1">
      <c r="F1543" s="39"/>
      <c r="G1543" s="40"/>
    </row>
    <row r="1544" spans="2:23" ht="18.75" customHeight="1">
      <c r="C1544" s="96" t="s">
        <v>3229</v>
      </c>
      <c r="D1544" s="97"/>
      <c r="E1544" s="100" t="str">
        <f>エンティティ一覧!$O$2</f>
        <v>milscm_2023_010</v>
      </c>
      <c r="G1544" s="41"/>
    </row>
    <row r="1545" spans="2:23" ht="18.75" customHeight="1">
      <c r="C1545" s="98"/>
      <c r="D1545" s="99"/>
      <c r="E1545" s="101"/>
      <c r="F1545" s="37"/>
    </row>
    <row r="1547" spans="2:23" ht="18.75" customHeight="1" thickBot="1">
      <c r="B1547" s="42"/>
      <c r="C1547" s="42"/>
      <c r="D1547" s="42"/>
      <c r="E1547" s="42"/>
      <c r="F1547" s="42"/>
      <c r="G1547" s="42"/>
      <c r="H1547" s="42"/>
      <c r="I1547" s="42"/>
      <c r="J1547" s="42"/>
      <c r="K1547" s="42"/>
      <c r="L1547" s="42"/>
      <c r="M1547" s="42"/>
      <c r="N1547" s="42"/>
      <c r="O1547" s="42"/>
      <c r="P1547" s="42"/>
      <c r="Q1547" s="42"/>
      <c r="R1547" s="42"/>
      <c r="S1547" s="42"/>
      <c r="T1547" s="42"/>
      <c r="U1547" s="42"/>
    </row>
  </sheetData>
  <mergeCells count="1030">
    <mergeCell ref="C22:D23"/>
    <mergeCell ref="E22:E23"/>
    <mergeCell ref="H16:I17"/>
    <mergeCell ref="J16:J17"/>
    <mergeCell ref="C4:U4"/>
    <mergeCell ref="C5:U5"/>
    <mergeCell ref="C7:D8"/>
    <mergeCell ref="E7:E8"/>
    <mergeCell ref="R7:S8"/>
    <mergeCell ref="T7:T8"/>
    <mergeCell ref="R16:S17"/>
    <mergeCell ref="T16:T17"/>
    <mergeCell ref="C13:U13"/>
    <mergeCell ref="C14:U14"/>
    <mergeCell ref="C19:D20"/>
    <mergeCell ref="E19:E20"/>
    <mergeCell ref="M25:N26"/>
    <mergeCell ref="O25:O26"/>
    <mergeCell ref="R1037:S1038"/>
    <mergeCell ref="T1037:T1038"/>
    <mergeCell ref="C1010:U1010"/>
    <mergeCell ref="C1011:U1011"/>
    <mergeCell ref="C998:U998"/>
    <mergeCell ref="C999:U999"/>
    <mergeCell ref="C1001:D1002"/>
    <mergeCell ref="E1001:E1002"/>
    <mergeCell ref="R1001:S1002"/>
    <mergeCell ref="T1001:T1002"/>
    <mergeCell ref="C1004:D1005"/>
    <mergeCell ref="E1004:E1005"/>
    <mergeCell ref="R1025:S1026"/>
    <mergeCell ref="T1025:T1026"/>
    <mergeCell ref="C1034:U1034"/>
    <mergeCell ref="C1035:U1035"/>
    <mergeCell ref="C1028:D1029"/>
    <mergeCell ref="E1028:E1029"/>
    <mergeCell ref="C1022:U1022"/>
    <mergeCell ref="C1023:U1023"/>
    <mergeCell ref="C1025:D1026"/>
    <mergeCell ref="E1025:E1026"/>
    <mergeCell ref="C1013:D1014"/>
    <mergeCell ref="E1013:E1014"/>
    <mergeCell ref="R1013:S1014"/>
    <mergeCell ref="T1013:T1014"/>
    <mergeCell ref="C1016:D1017"/>
    <mergeCell ref="E1016:E1017"/>
    <mergeCell ref="C1037:D1038"/>
    <mergeCell ref="E1037:E1038"/>
    <mergeCell ref="C1076:D1077"/>
    <mergeCell ref="E1076:E1077"/>
    <mergeCell ref="C1040:D1041"/>
    <mergeCell ref="E1040:E1041"/>
    <mergeCell ref="C1052:D1053"/>
    <mergeCell ref="E1052:E1053"/>
    <mergeCell ref="C1064:D1065"/>
    <mergeCell ref="E1064:E1065"/>
    <mergeCell ref="C1070:U1070"/>
    <mergeCell ref="C1071:U1071"/>
    <mergeCell ref="C1073:D1074"/>
    <mergeCell ref="E1073:E1074"/>
    <mergeCell ref="R1073:S1074"/>
    <mergeCell ref="T1073:T1074"/>
    <mergeCell ref="C1061:D1062"/>
    <mergeCell ref="E1061:E1062"/>
    <mergeCell ref="R1061:S1062"/>
    <mergeCell ref="T1061:T1062"/>
    <mergeCell ref="C1046:U1046"/>
    <mergeCell ref="C1047:U1047"/>
    <mergeCell ref="C1049:D1050"/>
    <mergeCell ref="E1049:E1050"/>
    <mergeCell ref="R1049:S1050"/>
    <mergeCell ref="T1049:T1050"/>
    <mergeCell ref="C1058:U1058"/>
    <mergeCell ref="C1059:U1059"/>
    <mergeCell ref="C1100:D1101"/>
    <mergeCell ref="E1100:E1101"/>
    <mergeCell ref="C1106:U1106"/>
    <mergeCell ref="C1107:U1107"/>
    <mergeCell ref="C1109:D1110"/>
    <mergeCell ref="E1109:E1110"/>
    <mergeCell ref="R1109:S1110"/>
    <mergeCell ref="T1109:T1110"/>
    <mergeCell ref="C1088:D1089"/>
    <mergeCell ref="E1088:E1089"/>
    <mergeCell ref="C1094:U1094"/>
    <mergeCell ref="C1095:U1095"/>
    <mergeCell ref="C1097:D1098"/>
    <mergeCell ref="E1097:E1098"/>
    <mergeCell ref="R1097:S1098"/>
    <mergeCell ref="T1097:T1098"/>
    <mergeCell ref="C1082:U1082"/>
    <mergeCell ref="C1083:U1083"/>
    <mergeCell ref="C1085:D1086"/>
    <mergeCell ref="E1085:E1086"/>
    <mergeCell ref="R1085:S1086"/>
    <mergeCell ref="T1085:T1086"/>
    <mergeCell ref="C1136:D1137"/>
    <mergeCell ref="E1136:E1137"/>
    <mergeCell ref="C1142:U1142"/>
    <mergeCell ref="C1143:U1143"/>
    <mergeCell ref="C1145:D1146"/>
    <mergeCell ref="E1145:E1146"/>
    <mergeCell ref="R1145:S1146"/>
    <mergeCell ref="T1145:T1146"/>
    <mergeCell ref="C1124:D1125"/>
    <mergeCell ref="E1124:E1125"/>
    <mergeCell ref="C1130:U1130"/>
    <mergeCell ref="C1131:U1131"/>
    <mergeCell ref="C1133:D1134"/>
    <mergeCell ref="E1133:E1134"/>
    <mergeCell ref="R1133:S1134"/>
    <mergeCell ref="T1133:T1134"/>
    <mergeCell ref="C1112:D1113"/>
    <mergeCell ref="E1112:E1113"/>
    <mergeCell ref="C1118:U1118"/>
    <mergeCell ref="C1119:U1119"/>
    <mergeCell ref="C1121:D1122"/>
    <mergeCell ref="E1121:E1122"/>
    <mergeCell ref="R1121:S1122"/>
    <mergeCell ref="T1121:T1122"/>
    <mergeCell ref="C1172:D1173"/>
    <mergeCell ref="E1172:E1173"/>
    <mergeCell ref="C1178:U1178"/>
    <mergeCell ref="C1179:U1179"/>
    <mergeCell ref="C1181:D1182"/>
    <mergeCell ref="E1181:E1182"/>
    <mergeCell ref="R1181:S1182"/>
    <mergeCell ref="T1181:T1182"/>
    <mergeCell ref="C1160:D1161"/>
    <mergeCell ref="E1160:E1161"/>
    <mergeCell ref="C1166:U1166"/>
    <mergeCell ref="C1167:U1167"/>
    <mergeCell ref="C1169:D1170"/>
    <mergeCell ref="E1169:E1170"/>
    <mergeCell ref="R1169:S1170"/>
    <mergeCell ref="T1169:T1170"/>
    <mergeCell ref="C1148:D1149"/>
    <mergeCell ref="E1148:E1149"/>
    <mergeCell ref="C1154:U1154"/>
    <mergeCell ref="C1155:U1155"/>
    <mergeCell ref="C1157:D1158"/>
    <mergeCell ref="E1157:E1158"/>
    <mergeCell ref="R1157:S1158"/>
    <mergeCell ref="T1157:T1158"/>
    <mergeCell ref="C1208:D1209"/>
    <mergeCell ref="E1208:E1209"/>
    <mergeCell ref="C1214:U1214"/>
    <mergeCell ref="C1215:U1215"/>
    <mergeCell ref="C1217:D1218"/>
    <mergeCell ref="E1217:E1218"/>
    <mergeCell ref="R1217:S1218"/>
    <mergeCell ref="T1217:T1218"/>
    <mergeCell ref="C1196:D1197"/>
    <mergeCell ref="E1196:E1197"/>
    <mergeCell ref="C1202:U1202"/>
    <mergeCell ref="C1203:U1203"/>
    <mergeCell ref="C1205:D1206"/>
    <mergeCell ref="E1205:E1206"/>
    <mergeCell ref="R1205:S1206"/>
    <mergeCell ref="T1205:T1206"/>
    <mergeCell ref="C1184:D1185"/>
    <mergeCell ref="E1184:E1185"/>
    <mergeCell ref="C1190:U1190"/>
    <mergeCell ref="C1191:U1191"/>
    <mergeCell ref="C1193:D1194"/>
    <mergeCell ref="E1193:E1194"/>
    <mergeCell ref="R1193:S1194"/>
    <mergeCell ref="T1193:T1194"/>
    <mergeCell ref="C1244:D1245"/>
    <mergeCell ref="E1244:E1245"/>
    <mergeCell ref="C1250:U1250"/>
    <mergeCell ref="C1251:U1251"/>
    <mergeCell ref="C1253:D1254"/>
    <mergeCell ref="E1253:E1254"/>
    <mergeCell ref="R1253:S1254"/>
    <mergeCell ref="T1253:T1254"/>
    <mergeCell ref="C1232:D1233"/>
    <mergeCell ref="E1232:E1233"/>
    <mergeCell ref="C1238:U1238"/>
    <mergeCell ref="C1239:U1239"/>
    <mergeCell ref="C1241:D1242"/>
    <mergeCell ref="E1241:E1242"/>
    <mergeCell ref="R1241:S1242"/>
    <mergeCell ref="T1241:T1242"/>
    <mergeCell ref="C1220:D1221"/>
    <mergeCell ref="E1220:E1221"/>
    <mergeCell ref="C1226:U1226"/>
    <mergeCell ref="C1227:U1227"/>
    <mergeCell ref="C1229:D1230"/>
    <mergeCell ref="E1229:E1230"/>
    <mergeCell ref="R1229:S1230"/>
    <mergeCell ref="T1229:T1230"/>
    <mergeCell ref="C1280:D1281"/>
    <mergeCell ref="E1280:E1281"/>
    <mergeCell ref="C1286:U1286"/>
    <mergeCell ref="C1287:U1287"/>
    <mergeCell ref="C1289:D1290"/>
    <mergeCell ref="E1289:E1290"/>
    <mergeCell ref="R1289:S1290"/>
    <mergeCell ref="T1289:T1290"/>
    <mergeCell ref="C1268:D1269"/>
    <mergeCell ref="E1268:E1269"/>
    <mergeCell ref="C1274:U1274"/>
    <mergeCell ref="C1275:U1275"/>
    <mergeCell ref="C1277:D1278"/>
    <mergeCell ref="E1277:E1278"/>
    <mergeCell ref="R1277:S1278"/>
    <mergeCell ref="T1277:T1278"/>
    <mergeCell ref="C1256:D1257"/>
    <mergeCell ref="E1256:E1257"/>
    <mergeCell ref="C1262:U1262"/>
    <mergeCell ref="C1263:U1263"/>
    <mergeCell ref="C1265:D1266"/>
    <mergeCell ref="E1265:E1266"/>
    <mergeCell ref="R1265:S1266"/>
    <mergeCell ref="T1265:T1266"/>
    <mergeCell ref="C1316:D1317"/>
    <mergeCell ref="E1316:E1317"/>
    <mergeCell ref="C1322:U1322"/>
    <mergeCell ref="C1323:U1323"/>
    <mergeCell ref="C1325:D1326"/>
    <mergeCell ref="E1325:E1326"/>
    <mergeCell ref="R1325:S1326"/>
    <mergeCell ref="T1325:T1326"/>
    <mergeCell ref="C1304:D1305"/>
    <mergeCell ref="E1304:E1305"/>
    <mergeCell ref="C1310:U1310"/>
    <mergeCell ref="C1311:U1311"/>
    <mergeCell ref="C1313:D1314"/>
    <mergeCell ref="E1313:E1314"/>
    <mergeCell ref="R1313:S1314"/>
    <mergeCell ref="T1313:T1314"/>
    <mergeCell ref="C1292:D1293"/>
    <mergeCell ref="E1292:E1293"/>
    <mergeCell ref="C1298:U1298"/>
    <mergeCell ref="C1299:U1299"/>
    <mergeCell ref="C1301:D1302"/>
    <mergeCell ref="E1301:E1302"/>
    <mergeCell ref="R1301:S1302"/>
    <mergeCell ref="T1301:T1302"/>
    <mergeCell ref="C1352:D1353"/>
    <mergeCell ref="E1352:E1353"/>
    <mergeCell ref="C1358:U1358"/>
    <mergeCell ref="C1359:U1359"/>
    <mergeCell ref="C1361:D1362"/>
    <mergeCell ref="E1361:E1362"/>
    <mergeCell ref="R1361:S1362"/>
    <mergeCell ref="T1361:T1362"/>
    <mergeCell ref="C1340:D1341"/>
    <mergeCell ref="E1340:E1341"/>
    <mergeCell ref="C1346:U1346"/>
    <mergeCell ref="C1347:U1347"/>
    <mergeCell ref="C1349:D1350"/>
    <mergeCell ref="E1349:E1350"/>
    <mergeCell ref="R1349:S1350"/>
    <mergeCell ref="T1349:T1350"/>
    <mergeCell ref="C1328:D1329"/>
    <mergeCell ref="E1328:E1329"/>
    <mergeCell ref="C1334:U1334"/>
    <mergeCell ref="C1335:U1335"/>
    <mergeCell ref="C1337:D1338"/>
    <mergeCell ref="E1337:E1338"/>
    <mergeCell ref="R1337:S1338"/>
    <mergeCell ref="T1337:T1338"/>
    <mergeCell ref="C1388:D1389"/>
    <mergeCell ref="E1388:E1389"/>
    <mergeCell ref="C1394:U1394"/>
    <mergeCell ref="C1395:U1395"/>
    <mergeCell ref="C1397:D1398"/>
    <mergeCell ref="E1397:E1398"/>
    <mergeCell ref="R1397:S1398"/>
    <mergeCell ref="T1397:T1398"/>
    <mergeCell ref="C1376:D1377"/>
    <mergeCell ref="E1376:E1377"/>
    <mergeCell ref="C1382:U1382"/>
    <mergeCell ref="C1383:U1383"/>
    <mergeCell ref="C1385:D1386"/>
    <mergeCell ref="E1385:E1386"/>
    <mergeCell ref="R1385:S1386"/>
    <mergeCell ref="T1385:T1386"/>
    <mergeCell ref="C1364:D1365"/>
    <mergeCell ref="E1364:E1365"/>
    <mergeCell ref="C1370:U1370"/>
    <mergeCell ref="C1371:U1371"/>
    <mergeCell ref="C1373:D1374"/>
    <mergeCell ref="E1373:E1374"/>
    <mergeCell ref="R1373:S1374"/>
    <mergeCell ref="T1373:T1374"/>
    <mergeCell ref="C1424:D1425"/>
    <mergeCell ref="E1424:E1425"/>
    <mergeCell ref="C1430:U1430"/>
    <mergeCell ref="C1431:U1431"/>
    <mergeCell ref="C1433:D1434"/>
    <mergeCell ref="E1433:E1434"/>
    <mergeCell ref="R1433:S1434"/>
    <mergeCell ref="T1433:T1434"/>
    <mergeCell ref="C1412:D1413"/>
    <mergeCell ref="E1412:E1413"/>
    <mergeCell ref="C1418:U1418"/>
    <mergeCell ref="C1419:U1419"/>
    <mergeCell ref="C1421:D1422"/>
    <mergeCell ref="E1421:E1422"/>
    <mergeCell ref="R1421:S1422"/>
    <mergeCell ref="T1421:T1422"/>
    <mergeCell ref="C1400:D1401"/>
    <mergeCell ref="E1400:E1401"/>
    <mergeCell ref="C1406:U1406"/>
    <mergeCell ref="C1407:U1407"/>
    <mergeCell ref="C1409:D1410"/>
    <mergeCell ref="E1409:E1410"/>
    <mergeCell ref="R1409:S1410"/>
    <mergeCell ref="T1409:T1410"/>
    <mergeCell ref="C1460:D1461"/>
    <mergeCell ref="E1460:E1461"/>
    <mergeCell ref="C1466:U1466"/>
    <mergeCell ref="C1467:U1467"/>
    <mergeCell ref="C1469:D1470"/>
    <mergeCell ref="E1469:E1470"/>
    <mergeCell ref="R1469:S1470"/>
    <mergeCell ref="T1469:T1470"/>
    <mergeCell ref="C1448:D1449"/>
    <mergeCell ref="E1448:E1449"/>
    <mergeCell ref="C1454:U1454"/>
    <mergeCell ref="C1455:U1455"/>
    <mergeCell ref="C1457:D1458"/>
    <mergeCell ref="E1457:E1458"/>
    <mergeCell ref="R1457:S1458"/>
    <mergeCell ref="T1457:T1458"/>
    <mergeCell ref="C1436:D1437"/>
    <mergeCell ref="E1436:E1437"/>
    <mergeCell ref="C1442:U1442"/>
    <mergeCell ref="C1443:U1443"/>
    <mergeCell ref="C1445:D1446"/>
    <mergeCell ref="E1445:E1446"/>
    <mergeCell ref="R1445:S1446"/>
    <mergeCell ref="T1445:T1446"/>
    <mergeCell ref="C1496:D1497"/>
    <mergeCell ref="E1496:E1497"/>
    <mergeCell ref="C1502:U1502"/>
    <mergeCell ref="C1503:U1503"/>
    <mergeCell ref="C1505:D1506"/>
    <mergeCell ref="E1505:E1506"/>
    <mergeCell ref="R1505:S1506"/>
    <mergeCell ref="T1505:T1506"/>
    <mergeCell ref="C1484:D1485"/>
    <mergeCell ref="E1484:E1485"/>
    <mergeCell ref="C1490:U1490"/>
    <mergeCell ref="C1491:U1491"/>
    <mergeCell ref="C1493:D1494"/>
    <mergeCell ref="E1493:E1494"/>
    <mergeCell ref="R1493:S1494"/>
    <mergeCell ref="T1493:T1494"/>
    <mergeCell ref="C1472:D1473"/>
    <mergeCell ref="E1472:E1473"/>
    <mergeCell ref="C1478:U1478"/>
    <mergeCell ref="C1479:U1479"/>
    <mergeCell ref="C1481:D1482"/>
    <mergeCell ref="E1481:E1482"/>
    <mergeCell ref="R1481:S1482"/>
    <mergeCell ref="T1481:T1482"/>
    <mergeCell ref="C1544:D1545"/>
    <mergeCell ref="E1544:E1545"/>
    <mergeCell ref="C32:U32"/>
    <mergeCell ref="C33:U33"/>
    <mergeCell ref="C35:D36"/>
    <mergeCell ref="E35:E36"/>
    <mergeCell ref="R35:S36"/>
    <mergeCell ref="T35:T36"/>
    <mergeCell ref="C1532:D1533"/>
    <mergeCell ref="E1532:E1533"/>
    <mergeCell ref="C1538:U1538"/>
    <mergeCell ref="C1539:U1539"/>
    <mergeCell ref="C1541:D1542"/>
    <mergeCell ref="E1541:E1542"/>
    <mergeCell ref="R1541:S1542"/>
    <mergeCell ref="T1541:T1542"/>
    <mergeCell ref="C1520:D1521"/>
    <mergeCell ref="E1520:E1521"/>
    <mergeCell ref="C1526:U1526"/>
    <mergeCell ref="C1527:U1527"/>
    <mergeCell ref="C1529:D1530"/>
    <mergeCell ref="E1529:E1530"/>
    <mergeCell ref="R1529:S1530"/>
    <mergeCell ref="T1529:T1530"/>
    <mergeCell ref="C1508:D1509"/>
    <mergeCell ref="E1508:E1509"/>
    <mergeCell ref="C1514:U1514"/>
    <mergeCell ref="C1515:U1515"/>
    <mergeCell ref="C1517:D1518"/>
    <mergeCell ref="E1517:E1518"/>
    <mergeCell ref="R1517:S1518"/>
    <mergeCell ref="T1517:T1518"/>
    <mergeCell ref="C62:D63"/>
    <mergeCell ref="E62:E63"/>
    <mergeCell ref="C68:U68"/>
    <mergeCell ref="C69:U69"/>
    <mergeCell ref="C71:D72"/>
    <mergeCell ref="E71:E72"/>
    <mergeCell ref="R71:S72"/>
    <mergeCell ref="T71:T72"/>
    <mergeCell ref="C50:D51"/>
    <mergeCell ref="E50:E51"/>
    <mergeCell ref="C56:U56"/>
    <mergeCell ref="C57:U57"/>
    <mergeCell ref="C59:D60"/>
    <mergeCell ref="E59:E60"/>
    <mergeCell ref="R59:S60"/>
    <mergeCell ref="T59:T60"/>
    <mergeCell ref="C38:D39"/>
    <mergeCell ref="E38:E39"/>
    <mergeCell ref="C44:U44"/>
    <mergeCell ref="C45:U45"/>
    <mergeCell ref="C47:D48"/>
    <mergeCell ref="E47:E48"/>
    <mergeCell ref="R47:S48"/>
    <mergeCell ref="T47:T48"/>
    <mergeCell ref="C95:D96"/>
    <mergeCell ref="E95:E96"/>
    <mergeCell ref="C101:U101"/>
    <mergeCell ref="C102:U102"/>
    <mergeCell ref="C104:D105"/>
    <mergeCell ref="E104:E105"/>
    <mergeCell ref="R104:S105"/>
    <mergeCell ref="T104:T105"/>
    <mergeCell ref="C83:D84"/>
    <mergeCell ref="E83:E84"/>
    <mergeCell ref="C89:U89"/>
    <mergeCell ref="C90:U90"/>
    <mergeCell ref="C92:D93"/>
    <mergeCell ref="E92:E93"/>
    <mergeCell ref="R92:S93"/>
    <mergeCell ref="T92:T93"/>
    <mergeCell ref="C77:U77"/>
    <mergeCell ref="C78:U78"/>
    <mergeCell ref="C80:D81"/>
    <mergeCell ref="E80:E81"/>
    <mergeCell ref="R80:S81"/>
    <mergeCell ref="T80:T81"/>
    <mergeCell ref="C131:D132"/>
    <mergeCell ref="E131:E132"/>
    <mergeCell ref="C137:U137"/>
    <mergeCell ref="C138:U138"/>
    <mergeCell ref="C140:D141"/>
    <mergeCell ref="E140:E141"/>
    <mergeCell ref="R140:S141"/>
    <mergeCell ref="T140:T141"/>
    <mergeCell ref="C119:D120"/>
    <mergeCell ref="E119:E120"/>
    <mergeCell ref="C125:U125"/>
    <mergeCell ref="C126:U126"/>
    <mergeCell ref="C128:D129"/>
    <mergeCell ref="E128:E129"/>
    <mergeCell ref="R128:S129"/>
    <mergeCell ref="T128:T129"/>
    <mergeCell ref="C107:D108"/>
    <mergeCell ref="E107:E108"/>
    <mergeCell ref="C113:U113"/>
    <mergeCell ref="C114:U114"/>
    <mergeCell ref="C116:D117"/>
    <mergeCell ref="E116:E117"/>
    <mergeCell ref="R116:S117"/>
    <mergeCell ref="T116:T117"/>
    <mergeCell ref="C167:D168"/>
    <mergeCell ref="E167:E168"/>
    <mergeCell ref="C173:U173"/>
    <mergeCell ref="C174:U174"/>
    <mergeCell ref="C176:D177"/>
    <mergeCell ref="E176:E177"/>
    <mergeCell ref="R176:S177"/>
    <mergeCell ref="T176:T177"/>
    <mergeCell ref="C155:D156"/>
    <mergeCell ref="E155:E156"/>
    <mergeCell ref="C161:U161"/>
    <mergeCell ref="C162:U162"/>
    <mergeCell ref="C164:D165"/>
    <mergeCell ref="E164:E165"/>
    <mergeCell ref="R164:S165"/>
    <mergeCell ref="T164:T165"/>
    <mergeCell ref="C143:D144"/>
    <mergeCell ref="E143:E144"/>
    <mergeCell ref="C149:U149"/>
    <mergeCell ref="C150:U150"/>
    <mergeCell ref="C152:D153"/>
    <mergeCell ref="E152:E153"/>
    <mergeCell ref="R152:S153"/>
    <mergeCell ref="T152:T153"/>
    <mergeCell ref="C200:U200"/>
    <mergeCell ref="C201:U201"/>
    <mergeCell ref="C203:D204"/>
    <mergeCell ref="E203:E204"/>
    <mergeCell ref="R203:S204"/>
    <mergeCell ref="T203:T204"/>
    <mergeCell ref="C191:U191"/>
    <mergeCell ref="C192:U192"/>
    <mergeCell ref="C194:D195"/>
    <mergeCell ref="E194:E195"/>
    <mergeCell ref="R194:S195"/>
    <mergeCell ref="T194:T195"/>
    <mergeCell ref="C182:U182"/>
    <mergeCell ref="C183:U183"/>
    <mergeCell ref="C185:D186"/>
    <mergeCell ref="E185:E186"/>
    <mergeCell ref="R185:S186"/>
    <mergeCell ref="T185:T186"/>
    <mergeCell ref="C227:U227"/>
    <mergeCell ref="C228:U228"/>
    <mergeCell ref="C230:D231"/>
    <mergeCell ref="E230:E231"/>
    <mergeCell ref="R230:S231"/>
    <mergeCell ref="T230:T231"/>
    <mergeCell ref="C218:U218"/>
    <mergeCell ref="C219:U219"/>
    <mergeCell ref="C221:D222"/>
    <mergeCell ref="E221:E222"/>
    <mergeCell ref="R221:S222"/>
    <mergeCell ref="T221:T222"/>
    <mergeCell ref="C209:U209"/>
    <mergeCell ref="C210:U210"/>
    <mergeCell ref="C212:D213"/>
    <mergeCell ref="E212:E213"/>
    <mergeCell ref="R212:S213"/>
    <mergeCell ref="T212:T213"/>
    <mergeCell ref="C254:U254"/>
    <mergeCell ref="C255:U255"/>
    <mergeCell ref="C257:D258"/>
    <mergeCell ref="E257:E258"/>
    <mergeCell ref="R257:S258"/>
    <mergeCell ref="T257:T258"/>
    <mergeCell ref="C245:U245"/>
    <mergeCell ref="C246:U246"/>
    <mergeCell ref="C248:D249"/>
    <mergeCell ref="E248:E249"/>
    <mergeCell ref="R248:S249"/>
    <mergeCell ref="T248:T249"/>
    <mergeCell ref="C236:U236"/>
    <mergeCell ref="C237:U237"/>
    <mergeCell ref="C239:D240"/>
    <mergeCell ref="E239:E240"/>
    <mergeCell ref="R239:S240"/>
    <mergeCell ref="T239:T240"/>
    <mergeCell ref="C281:U281"/>
    <mergeCell ref="C282:U282"/>
    <mergeCell ref="C284:D285"/>
    <mergeCell ref="E284:E285"/>
    <mergeCell ref="R284:S285"/>
    <mergeCell ref="T284:T285"/>
    <mergeCell ref="C272:U272"/>
    <mergeCell ref="C273:U273"/>
    <mergeCell ref="C275:D276"/>
    <mergeCell ref="E275:E276"/>
    <mergeCell ref="R275:S276"/>
    <mergeCell ref="T275:T276"/>
    <mergeCell ref="C263:U263"/>
    <mergeCell ref="C264:U264"/>
    <mergeCell ref="C266:D267"/>
    <mergeCell ref="E266:E267"/>
    <mergeCell ref="R266:S267"/>
    <mergeCell ref="T266:T267"/>
    <mergeCell ref="C308:U308"/>
    <mergeCell ref="C309:U309"/>
    <mergeCell ref="C311:D312"/>
    <mergeCell ref="E311:E312"/>
    <mergeCell ref="R311:S312"/>
    <mergeCell ref="T311:T312"/>
    <mergeCell ref="C299:U299"/>
    <mergeCell ref="C300:U300"/>
    <mergeCell ref="C302:D303"/>
    <mergeCell ref="E302:E303"/>
    <mergeCell ref="R302:S303"/>
    <mergeCell ref="T302:T303"/>
    <mergeCell ref="C290:U290"/>
    <mergeCell ref="C291:U291"/>
    <mergeCell ref="C293:D294"/>
    <mergeCell ref="E293:E294"/>
    <mergeCell ref="R293:S294"/>
    <mergeCell ref="T293:T294"/>
    <mergeCell ref="C335:U335"/>
    <mergeCell ref="C336:U336"/>
    <mergeCell ref="C338:D339"/>
    <mergeCell ref="E338:E339"/>
    <mergeCell ref="R338:S339"/>
    <mergeCell ref="T338:T339"/>
    <mergeCell ref="C326:U326"/>
    <mergeCell ref="C327:U327"/>
    <mergeCell ref="C329:D330"/>
    <mergeCell ref="E329:E330"/>
    <mergeCell ref="R329:S330"/>
    <mergeCell ref="T329:T330"/>
    <mergeCell ref="C317:U317"/>
    <mergeCell ref="C318:U318"/>
    <mergeCell ref="C320:D321"/>
    <mergeCell ref="E320:E321"/>
    <mergeCell ref="R320:S321"/>
    <mergeCell ref="T320:T321"/>
    <mergeCell ref="C362:U362"/>
    <mergeCell ref="C363:U363"/>
    <mergeCell ref="C365:D366"/>
    <mergeCell ref="E365:E366"/>
    <mergeCell ref="R365:S366"/>
    <mergeCell ref="T365:T366"/>
    <mergeCell ref="C353:U353"/>
    <mergeCell ref="C354:U354"/>
    <mergeCell ref="C356:D357"/>
    <mergeCell ref="E356:E357"/>
    <mergeCell ref="R356:S357"/>
    <mergeCell ref="T356:T357"/>
    <mergeCell ref="C344:U344"/>
    <mergeCell ref="C345:U345"/>
    <mergeCell ref="C347:D348"/>
    <mergeCell ref="E347:E348"/>
    <mergeCell ref="R347:S348"/>
    <mergeCell ref="T347:T348"/>
    <mergeCell ref="C389:U389"/>
    <mergeCell ref="C390:U390"/>
    <mergeCell ref="C392:D393"/>
    <mergeCell ref="E392:E393"/>
    <mergeCell ref="R392:S393"/>
    <mergeCell ref="T392:T393"/>
    <mergeCell ref="C380:U380"/>
    <mergeCell ref="C381:U381"/>
    <mergeCell ref="C383:D384"/>
    <mergeCell ref="E383:E384"/>
    <mergeCell ref="R383:S384"/>
    <mergeCell ref="T383:T384"/>
    <mergeCell ref="C371:U371"/>
    <mergeCell ref="C372:U372"/>
    <mergeCell ref="C374:D375"/>
    <mergeCell ref="E374:E375"/>
    <mergeCell ref="R374:S375"/>
    <mergeCell ref="T374:T375"/>
    <mergeCell ref="C416:U416"/>
    <mergeCell ref="C417:U417"/>
    <mergeCell ref="C419:D420"/>
    <mergeCell ref="E419:E420"/>
    <mergeCell ref="R419:S420"/>
    <mergeCell ref="T419:T420"/>
    <mergeCell ref="C407:U407"/>
    <mergeCell ref="C408:U408"/>
    <mergeCell ref="C410:D411"/>
    <mergeCell ref="E410:E411"/>
    <mergeCell ref="R410:S411"/>
    <mergeCell ref="T410:T411"/>
    <mergeCell ref="C398:U398"/>
    <mergeCell ref="C399:U399"/>
    <mergeCell ref="C401:D402"/>
    <mergeCell ref="E401:E402"/>
    <mergeCell ref="R401:S402"/>
    <mergeCell ref="T401:T402"/>
    <mergeCell ref="C443:U443"/>
    <mergeCell ref="C444:U444"/>
    <mergeCell ref="C446:D447"/>
    <mergeCell ref="E446:E447"/>
    <mergeCell ref="R446:S447"/>
    <mergeCell ref="T446:T447"/>
    <mergeCell ref="C434:U434"/>
    <mergeCell ref="C435:U435"/>
    <mergeCell ref="C437:D438"/>
    <mergeCell ref="E437:E438"/>
    <mergeCell ref="R437:S438"/>
    <mergeCell ref="T437:T438"/>
    <mergeCell ref="C425:U425"/>
    <mergeCell ref="C426:U426"/>
    <mergeCell ref="C428:D429"/>
    <mergeCell ref="E428:E429"/>
    <mergeCell ref="R428:S429"/>
    <mergeCell ref="T428:T429"/>
    <mergeCell ref="C470:U470"/>
    <mergeCell ref="C471:U471"/>
    <mergeCell ref="C473:D474"/>
    <mergeCell ref="E473:E474"/>
    <mergeCell ref="R473:S474"/>
    <mergeCell ref="T473:T474"/>
    <mergeCell ref="C461:U461"/>
    <mergeCell ref="C462:U462"/>
    <mergeCell ref="C464:D465"/>
    <mergeCell ref="E464:E465"/>
    <mergeCell ref="R464:S465"/>
    <mergeCell ref="T464:T465"/>
    <mergeCell ref="C452:U452"/>
    <mergeCell ref="C453:U453"/>
    <mergeCell ref="C455:D456"/>
    <mergeCell ref="E455:E456"/>
    <mergeCell ref="R455:S456"/>
    <mergeCell ref="T455:T456"/>
    <mergeCell ref="C497:U497"/>
    <mergeCell ref="C498:U498"/>
    <mergeCell ref="C500:D501"/>
    <mergeCell ref="E500:E501"/>
    <mergeCell ref="R500:S501"/>
    <mergeCell ref="T500:T501"/>
    <mergeCell ref="C488:U488"/>
    <mergeCell ref="C489:U489"/>
    <mergeCell ref="C491:D492"/>
    <mergeCell ref="E491:E492"/>
    <mergeCell ref="R491:S492"/>
    <mergeCell ref="T491:T492"/>
    <mergeCell ref="C479:U479"/>
    <mergeCell ref="C480:U480"/>
    <mergeCell ref="C482:D483"/>
    <mergeCell ref="E482:E483"/>
    <mergeCell ref="R482:S483"/>
    <mergeCell ref="T482:T483"/>
    <mergeCell ref="C524:U524"/>
    <mergeCell ref="C525:U525"/>
    <mergeCell ref="C527:D528"/>
    <mergeCell ref="E527:E528"/>
    <mergeCell ref="R527:S528"/>
    <mergeCell ref="T527:T528"/>
    <mergeCell ref="C515:U515"/>
    <mergeCell ref="C516:U516"/>
    <mergeCell ref="C518:D519"/>
    <mergeCell ref="E518:E519"/>
    <mergeCell ref="R518:S519"/>
    <mergeCell ref="T518:T519"/>
    <mergeCell ref="C506:U506"/>
    <mergeCell ref="C507:U507"/>
    <mergeCell ref="C509:D510"/>
    <mergeCell ref="E509:E510"/>
    <mergeCell ref="R509:S510"/>
    <mergeCell ref="T509:T510"/>
    <mergeCell ref="C551:U551"/>
    <mergeCell ref="C552:U552"/>
    <mergeCell ref="C554:D555"/>
    <mergeCell ref="E554:E555"/>
    <mergeCell ref="R554:S555"/>
    <mergeCell ref="T554:T555"/>
    <mergeCell ref="C542:U542"/>
    <mergeCell ref="C543:U543"/>
    <mergeCell ref="C545:D546"/>
    <mergeCell ref="E545:E546"/>
    <mergeCell ref="R545:S546"/>
    <mergeCell ref="T545:T546"/>
    <mergeCell ref="C533:U533"/>
    <mergeCell ref="C534:U534"/>
    <mergeCell ref="C536:D537"/>
    <mergeCell ref="E536:E537"/>
    <mergeCell ref="R536:S537"/>
    <mergeCell ref="T536:T537"/>
    <mergeCell ref="C578:U578"/>
    <mergeCell ref="C579:U579"/>
    <mergeCell ref="C581:D582"/>
    <mergeCell ref="E581:E582"/>
    <mergeCell ref="R581:S582"/>
    <mergeCell ref="T581:T582"/>
    <mergeCell ref="C569:U569"/>
    <mergeCell ref="C570:U570"/>
    <mergeCell ref="C572:D573"/>
    <mergeCell ref="E572:E573"/>
    <mergeCell ref="R572:S573"/>
    <mergeCell ref="T572:T573"/>
    <mergeCell ref="C560:U560"/>
    <mergeCell ref="C561:U561"/>
    <mergeCell ref="C563:D564"/>
    <mergeCell ref="E563:E564"/>
    <mergeCell ref="R563:S564"/>
    <mergeCell ref="T563:T564"/>
    <mergeCell ref="C605:U605"/>
    <mergeCell ref="C606:U606"/>
    <mergeCell ref="C608:D609"/>
    <mergeCell ref="E608:E609"/>
    <mergeCell ref="R608:S609"/>
    <mergeCell ref="T608:T609"/>
    <mergeCell ref="C596:U596"/>
    <mergeCell ref="C597:U597"/>
    <mergeCell ref="C599:D600"/>
    <mergeCell ref="E599:E600"/>
    <mergeCell ref="R599:S600"/>
    <mergeCell ref="T599:T600"/>
    <mergeCell ref="C587:U587"/>
    <mergeCell ref="C588:U588"/>
    <mergeCell ref="C590:D591"/>
    <mergeCell ref="E590:E591"/>
    <mergeCell ref="R590:S591"/>
    <mergeCell ref="T590:T591"/>
    <mergeCell ref="C632:D633"/>
    <mergeCell ref="E632:E633"/>
    <mergeCell ref="C638:U638"/>
    <mergeCell ref="C639:U639"/>
    <mergeCell ref="C641:D642"/>
    <mergeCell ref="E641:E642"/>
    <mergeCell ref="R641:S642"/>
    <mergeCell ref="T641:T642"/>
    <mergeCell ref="C620:D621"/>
    <mergeCell ref="E620:E621"/>
    <mergeCell ref="C626:U626"/>
    <mergeCell ref="C627:U627"/>
    <mergeCell ref="C629:D630"/>
    <mergeCell ref="E629:E630"/>
    <mergeCell ref="R629:S630"/>
    <mergeCell ref="T629:T630"/>
    <mergeCell ref="C614:U614"/>
    <mergeCell ref="C615:U615"/>
    <mergeCell ref="C617:D618"/>
    <mergeCell ref="E617:E618"/>
    <mergeCell ref="R617:S618"/>
    <mergeCell ref="T617:T618"/>
    <mergeCell ref="C668:D669"/>
    <mergeCell ref="E668:E669"/>
    <mergeCell ref="C674:U674"/>
    <mergeCell ref="C675:U675"/>
    <mergeCell ref="C677:D678"/>
    <mergeCell ref="E677:E678"/>
    <mergeCell ref="R677:S678"/>
    <mergeCell ref="T677:T678"/>
    <mergeCell ref="C656:D657"/>
    <mergeCell ref="E656:E657"/>
    <mergeCell ref="C662:U662"/>
    <mergeCell ref="C663:U663"/>
    <mergeCell ref="C665:D666"/>
    <mergeCell ref="E665:E666"/>
    <mergeCell ref="R665:S666"/>
    <mergeCell ref="T665:T666"/>
    <mergeCell ref="C644:D645"/>
    <mergeCell ref="E644:E645"/>
    <mergeCell ref="C650:U650"/>
    <mergeCell ref="C651:U651"/>
    <mergeCell ref="C653:D654"/>
    <mergeCell ref="E653:E654"/>
    <mergeCell ref="R653:S654"/>
    <mergeCell ref="T653:T654"/>
    <mergeCell ref="C704:D705"/>
    <mergeCell ref="E704:E705"/>
    <mergeCell ref="C710:U710"/>
    <mergeCell ref="C711:U711"/>
    <mergeCell ref="C713:D714"/>
    <mergeCell ref="E713:E714"/>
    <mergeCell ref="R713:S714"/>
    <mergeCell ref="T713:T714"/>
    <mergeCell ref="C692:D693"/>
    <mergeCell ref="E692:E693"/>
    <mergeCell ref="C698:U698"/>
    <mergeCell ref="C699:U699"/>
    <mergeCell ref="C701:D702"/>
    <mergeCell ref="E701:E702"/>
    <mergeCell ref="R701:S702"/>
    <mergeCell ref="T701:T702"/>
    <mergeCell ref="C680:D681"/>
    <mergeCell ref="E680:E681"/>
    <mergeCell ref="C686:U686"/>
    <mergeCell ref="C687:U687"/>
    <mergeCell ref="C689:D690"/>
    <mergeCell ref="E689:E690"/>
    <mergeCell ref="R689:S690"/>
    <mergeCell ref="T689:T690"/>
    <mergeCell ref="C740:D741"/>
    <mergeCell ref="E740:E741"/>
    <mergeCell ref="C746:U746"/>
    <mergeCell ref="C747:U747"/>
    <mergeCell ref="C749:D750"/>
    <mergeCell ref="E749:E750"/>
    <mergeCell ref="R749:S750"/>
    <mergeCell ref="T749:T750"/>
    <mergeCell ref="C728:D729"/>
    <mergeCell ref="E728:E729"/>
    <mergeCell ref="C734:U734"/>
    <mergeCell ref="C735:U735"/>
    <mergeCell ref="C737:D738"/>
    <mergeCell ref="E737:E738"/>
    <mergeCell ref="R737:S738"/>
    <mergeCell ref="T737:T738"/>
    <mergeCell ref="C716:D717"/>
    <mergeCell ref="E716:E717"/>
    <mergeCell ref="C722:U722"/>
    <mergeCell ref="C723:U723"/>
    <mergeCell ref="C725:D726"/>
    <mergeCell ref="E725:E726"/>
    <mergeCell ref="R725:S726"/>
    <mergeCell ref="T725:T726"/>
    <mergeCell ref="C776:D777"/>
    <mergeCell ref="E776:E777"/>
    <mergeCell ref="C782:U782"/>
    <mergeCell ref="C783:U783"/>
    <mergeCell ref="C785:D786"/>
    <mergeCell ref="E785:E786"/>
    <mergeCell ref="R785:S786"/>
    <mergeCell ref="T785:T786"/>
    <mergeCell ref="C764:D765"/>
    <mergeCell ref="E764:E765"/>
    <mergeCell ref="C770:U770"/>
    <mergeCell ref="C771:U771"/>
    <mergeCell ref="C773:D774"/>
    <mergeCell ref="E773:E774"/>
    <mergeCell ref="R773:S774"/>
    <mergeCell ref="T773:T774"/>
    <mergeCell ref="C752:D753"/>
    <mergeCell ref="E752:E753"/>
    <mergeCell ref="C758:U758"/>
    <mergeCell ref="C759:U759"/>
    <mergeCell ref="C761:D762"/>
    <mergeCell ref="E761:E762"/>
    <mergeCell ref="R761:S762"/>
    <mergeCell ref="T761:T762"/>
    <mergeCell ref="C812:D813"/>
    <mergeCell ref="E812:E813"/>
    <mergeCell ref="C818:U818"/>
    <mergeCell ref="C819:U819"/>
    <mergeCell ref="C821:D822"/>
    <mergeCell ref="E821:E822"/>
    <mergeCell ref="R821:S822"/>
    <mergeCell ref="T821:T822"/>
    <mergeCell ref="C800:D801"/>
    <mergeCell ref="E800:E801"/>
    <mergeCell ref="C806:U806"/>
    <mergeCell ref="C807:U807"/>
    <mergeCell ref="C809:D810"/>
    <mergeCell ref="E809:E810"/>
    <mergeCell ref="R809:S810"/>
    <mergeCell ref="T809:T810"/>
    <mergeCell ref="C788:D789"/>
    <mergeCell ref="E788:E789"/>
    <mergeCell ref="C794:U794"/>
    <mergeCell ref="C795:U795"/>
    <mergeCell ref="C797:D798"/>
    <mergeCell ref="E797:E798"/>
    <mergeCell ref="R797:S798"/>
    <mergeCell ref="T797:T798"/>
    <mergeCell ref="C848:D849"/>
    <mergeCell ref="E848:E849"/>
    <mergeCell ref="C854:U854"/>
    <mergeCell ref="C855:U855"/>
    <mergeCell ref="C857:D858"/>
    <mergeCell ref="E857:E858"/>
    <mergeCell ref="R857:S858"/>
    <mergeCell ref="T857:T858"/>
    <mergeCell ref="C836:D837"/>
    <mergeCell ref="E836:E837"/>
    <mergeCell ref="C842:U842"/>
    <mergeCell ref="C843:U843"/>
    <mergeCell ref="C845:D846"/>
    <mergeCell ref="E845:E846"/>
    <mergeCell ref="R845:S846"/>
    <mergeCell ref="T845:T846"/>
    <mergeCell ref="C824:D825"/>
    <mergeCell ref="E824:E825"/>
    <mergeCell ref="C830:U830"/>
    <mergeCell ref="C831:U831"/>
    <mergeCell ref="C833:D834"/>
    <mergeCell ref="E833:E834"/>
    <mergeCell ref="R833:S834"/>
    <mergeCell ref="T833:T834"/>
    <mergeCell ref="C884:D885"/>
    <mergeCell ref="E884:E885"/>
    <mergeCell ref="C890:U890"/>
    <mergeCell ref="C891:U891"/>
    <mergeCell ref="C893:D894"/>
    <mergeCell ref="E893:E894"/>
    <mergeCell ref="R893:S894"/>
    <mergeCell ref="T893:T894"/>
    <mergeCell ref="C872:D873"/>
    <mergeCell ref="E872:E873"/>
    <mergeCell ref="C878:U878"/>
    <mergeCell ref="C879:U879"/>
    <mergeCell ref="C881:D882"/>
    <mergeCell ref="E881:E882"/>
    <mergeCell ref="R881:S882"/>
    <mergeCell ref="T881:T882"/>
    <mergeCell ref="C860:D861"/>
    <mergeCell ref="E860:E861"/>
    <mergeCell ref="C866:U866"/>
    <mergeCell ref="C867:U867"/>
    <mergeCell ref="C869:D870"/>
    <mergeCell ref="E869:E870"/>
    <mergeCell ref="R869:S870"/>
    <mergeCell ref="T869:T870"/>
    <mergeCell ref="C920:D921"/>
    <mergeCell ref="E920:E921"/>
    <mergeCell ref="C926:U926"/>
    <mergeCell ref="C927:U927"/>
    <mergeCell ref="C929:D930"/>
    <mergeCell ref="E929:E930"/>
    <mergeCell ref="R929:S930"/>
    <mergeCell ref="T929:T930"/>
    <mergeCell ref="C908:D909"/>
    <mergeCell ref="E908:E909"/>
    <mergeCell ref="C914:U914"/>
    <mergeCell ref="C915:U915"/>
    <mergeCell ref="C917:D918"/>
    <mergeCell ref="E917:E918"/>
    <mergeCell ref="R917:S918"/>
    <mergeCell ref="T917:T918"/>
    <mergeCell ref="C896:D897"/>
    <mergeCell ref="E896:E897"/>
    <mergeCell ref="C902:U902"/>
    <mergeCell ref="C903:U903"/>
    <mergeCell ref="C905:D906"/>
    <mergeCell ref="E905:E906"/>
    <mergeCell ref="R905:S906"/>
    <mergeCell ref="T905:T906"/>
    <mergeCell ref="C956:D957"/>
    <mergeCell ref="E956:E957"/>
    <mergeCell ref="C962:U962"/>
    <mergeCell ref="C963:U963"/>
    <mergeCell ref="C965:D966"/>
    <mergeCell ref="E965:E966"/>
    <mergeCell ref="R965:S966"/>
    <mergeCell ref="T965:T966"/>
    <mergeCell ref="C944:D945"/>
    <mergeCell ref="E944:E945"/>
    <mergeCell ref="C950:U950"/>
    <mergeCell ref="C951:U951"/>
    <mergeCell ref="C953:D954"/>
    <mergeCell ref="E953:E954"/>
    <mergeCell ref="R953:S954"/>
    <mergeCell ref="T953:T954"/>
    <mergeCell ref="C932:D933"/>
    <mergeCell ref="E932:E933"/>
    <mergeCell ref="C938:U938"/>
    <mergeCell ref="C939:U939"/>
    <mergeCell ref="C941:D942"/>
    <mergeCell ref="E941:E942"/>
    <mergeCell ref="R941:S942"/>
    <mergeCell ref="T941:T942"/>
    <mergeCell ref="C992:D993"/>
    <mergeCell ref="E992:E993"/>
    <mergeCell ref="C980:D981"/>
    <mergeCell ref="E980:E981"/>
    <mergeCell ref="C986:U986"/>
    <mergeCell ref="C987:U987"/>
    <mergeCell ref="C989:D990"/>
    <mergeCell ref="E989:E990"/>
    <mergeCell ref="R989:S990"/>
    <mergeCell ref="T989:T990"/>
    <mergeCell ref="C968:D969"/>
    <mergeCell ref="E968:E969"/>
    <mergeCell ref="C974:U974"/>
    <mergeCell ref="C975:U975"/>
    <mergeCell ref="C977:D978"/>
    <mergeCell ref="E977:E978"/>
    <mergeCell ref="R977:S978"/>
    <mergeCell ref="T977:T978"/>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pageSetUpPr fitToPage="1"/>
  </sheetPr>
  <dimension ref="A3:W50"/>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1:23" ht="18.75" customHeight="1">
      <c r="A3" s="79"/>
      <c r="B3" s="43" t="s">
        <v>163</v>
      </c>
      <c r="C3" s="51" t="s">
        <v>174</v>
      </c>
      <c r="D3" s="91"/>
      <c r="W3" s="35" t="str">
        <f>"-- "&amp;B3&amp;" : "&amp;C3</f>
        <v>-- SQL_ID : 11_01</v>
      </c>
    </row>
    <row r="4" spans="1:23" ht="18.75" customHeight="1">
      <c r="B4" s="43" t="s">
        <v>158</v>
      </c>
      <c r="C4" s="102" t="str">
        <f>R7&amp;"登録"</f>
        <v>組入れ_対象施設登録</v>
      </c>
      <c r="D4" s="103"/>
      <c r="E4" s="103"/>
      <c r="F4" s="103"/>
      <c r="G4" s="103"/>
      <c r="H4" s="103"/>
      <c r="I4" s="103"/>
      <c r="J4" s="103"/>
      <c r="K4" s="103"/>
      <c r="L4" s="103"/>
      <c r="M4" s="103"/>
      <c r="N4" s="103"/>
      <c r="O4" s="103"/>
      <c r="P4" s="103"/>
      <c r="Q4" s="103"/>
      <c r="R4" s="103"/>
      <c r="S4" s="103"/>
      <c r="T4" s="103"/>
      <c r="U4" s="104"/>
      <c r="W4" s="35" t="str">
        <f>"-- "&amp;C4</f>
        <v>-- 組入れ_対象施設登録</v>
      </c>
    </row>
    <row r="5" spans="1:23" ht="18.75" customHeight="1">
      <c r="B5" s="43" t="s">
        <v>159</v>
      </c>
      <c r="C5" s="105" t="str">
        <f>C7&amp;"テーブルから組入れ条件で絞り込んだ結果を"&amp;R7&amp;"テーブルに格納する。"</f>
        <v>バックアップ_処理対象施設マスタ管理テーブルから組入れ条件で絞り込んだ結果を組入れ_対象施設テーブルに格納する。</v>
      </c>
      <c r="D5" s="106"/>
      <c r="E5" s="106"/>
      <c r="F5" s="106"/>
      <c r="G5" s="106"/>
      <c r="H5" s="106"/>
      <c r="I5" s="106"/>
      <c r="J5" s="106"/>
      <c r="K5" s="106"/>
      <c r="L5" s="106"/>
      <c r="M5" s="106"/>
      <c r="N5" s="106"/>
      <c r="O5" s="106"/>
      <c r="P5" s="106"/>
      <c r="Q5" s="106"/>
      <c r="R5" s="106"/>
      <c r="S5" s="106"/>
      <c r="T5" s="106"/>
      <c r="U5" s="107"/>
      <c r="W5" s="35" t="str">
        <f>"-- "&amp;C5</f>
        <v>-- バックアップ_処理対象施設マスタ管理テーブルから組入れ条件で絞り込んだ結果を組入れ_対象施設テーブルに格納する。</v>
      </c>
    </row>
    <row r="7" spans="1:23" ht="18.75" customHeight="1">
      <c r="C7" s="96" t="s">
        <v>3717</v>
      </c>
      <c r="D7" s="97"/>
      <c r="E7" s="100" t="str">
        <f>エンティティ一覧!$O$2</f>
        <v>milscm_2023_010</v>
      </c>
      <c r="F7" s="36"/>
      <c r="G7" s="36"/>
      <c r="H7" s="36"/>
      <c r="I7" s="36"/>
      <c r="J7" s="36"/>
      <c r="M7" s="36"/>
      <c r="N7" s="36"/>
      <c r="O7" s="36"/>
      <c r="P7" s="36"/>
      <c r="Q7" s="36"/>
      <c r="R7" s="96" t="s">
        <v>3715</v>
      </c>
      <c r="S7" s="97"/>
      <c r="T7" s="100" t="str">
        <f>エンティティ一覧!$O$2</f>
        <v>milscm_2023_010</v>
      </c>
      <c r="W7" s="35" t="s">
        <v>3716</v>
      </c>
    </row>
    <row r="8" spans="1:23" ht="18.75" customHeight="1">
      <c r="C8" s="98"/>
      <c r="D8" s="99"/>
      <c r="E8" s="101"/>
      <c r="F8" s="37"/>
      <c r="G8" s="37"/>
      <c r="H8" s="37"/>
      <c r="I8" s="37"/>
      <c r="J8" s="37"/>
      <c r="K8" s="37"/>
      <c r="L8" s="38"/>
      <c r="M8" s="37"/>
      <c r="N8" s="37"/>
      <c r="O8" s="37"/>
      <c r="P8" s="37"/>
      <c r="Q8" s="37"/>
      <c r="R8" s="98"/>
      <c r="S8" s="99"/>
      <c r="T8" s="101"/>
    </row>
    <row r="9" spans="1:23" ht="18.75" customHeight="1">
      <c r="K9" s="39"/>
      <c r="L9" s="40"/>
    </row>
    <row r="10" spans="1:23" ht="18.75" customHeight="1">
      <c r="C10" s="96" t="s">
        <v>3714</v>
      </c>
      <c r="D10" s="97"/>
      <c r="E10" s="108" t="s">
        <v>162</v>
      </c>
      <c r="F10" s="36"/>
      <c r="G10" s="36"/>
      <c r="H10" s="36"/>
      <c r="I10" s="36"/>
      <c r="J10" s="36"/>
      <c r="L10" s="41"/>
    </row>
    <row r="11" spans="1:23" ht="18.75" customHeight="1">
      <c r="C11" s="98"/>
      <c r="D11" s="99"/>
      <c r="E11" s="109"/>
      <c r="F11" s="37"/>
      <c r="G11" s="37"/>
      <c r="H11" s="37"/>
      <c r="I11" s="37"/>
      <c r="J11" s="37"/>
      <c r="K11" s="37"/>
    </row>
    <row r="13" spans="1:23" ht="18.75" customHeight="1" thickBot="1">
      <c r="B13" s="42"/>
      <c r="C13" s="42"/>
      <c r="D13" s="42"/>
      <c r="E13" s="42"/>
      <c r="F13" s="42"/>
      <c r="G13" s="42"/>
      <c r="H13" s="42"/>
      <c r="I13" s="42"/>
      <c r="J13" s="42"/>
      <c r="K13" s="42"/>
      <c r="L13" s="42"/>
      <c r="M13" s="42"/>
      <c r="N13" s="42"/>
      <c r="O13" s="42"/>
      <c r="P13" s="42"/>
      <c r="Q13" s="42"/>
      <c r="R13" s="42"/>
      <c r="S13" s="42"/>
      <c r="T13" s="42"/>
      <c r="U13" s="42"/>
    </row>
    <row r="15" spans="1:23" ht="18.75" customHeight="1">
      <c r="A15" s="79"/>
      <c r="B15" s="43" t="s">
        <v>163</v>
      </c>
      <c r="C15" s="51" t="s">
        <v>190</v>
      </c>
      <c r="D15" s="50"/>
      <c r="W15" s="35" t="str">
        <f>"-- "&amp;B15&amp;" : "&amp;C15</f>
        <v>-- SQL_ID : 11_02</v>
      </c>
    </row>
    <row r="16" spans="1:23" ht="18.75" customHeight="1">
      <c r="B16" s="43" t="s">
        <v>158</v>
      </c>
      <c r="C16" s="102" t="str">
        <f>R19&amp;"登録"</f>
        <v>組入れ_対象処方登録</v>
      </c>
      <c r="D16" s="103"/>
      <c r="E16" s="103"/>
      <c r="F16" s="103"/>
      <c r="G16" s="103"/>
      <c r="H16" s="103"/>
      <c r="I16" s="103"/>
      <c r="J16" s="103"/>
      <c r="K16" s="103"/>
      <c r="L16" s="103"/>
      <c r="M16" s="103"/>
      <c r="N16" s="103"/>
      <c r="O16" s="103"/>
      <c r="P16" s="103"/>
      <c r="Q16" s="103"/>
      <c r="R16" s="103"/>
      <c r="S16" s="103"/>
      <c r="T16" s="103"/>
      <c r="U16" s="104"/>
      <c r="W16" s="35" t="str">
        <f>"-- "&amp;C16</f>
        <v>-- 組入れ_対象処方登録</v>
      </c>
    </row>
    <row r="17" spans="2:23" ht="18.75" customHeight="1">
      <c r="B17" s="43" t="s">
        <v>159</v>
      </c>
      <c r="C17" s="105" t="str">
        <f>C19&amp;"テーブルから組入れ条件で絞り込んだ結果を"&amp;R19&amp;"テーブルに格納する。"</f>
        <v>バックアップ_処方データ_組入れ第一条件テーブルから組入れ条件で絞り込んだ結果を組入れ_対象処方テーブルに格納する。</v>
      </c>
      <c r="D17" s="106"/>
      <c r="E17" s="106"/>
      <c r="F17" s="106"/>
      <c r="G17" s="106"/>
      <c r="H17" s="106"/>
      <c r="I17" s="106"/>
      <c r="J17" s="106"/>
      <c r="K17" s="106"/>
      <c r="L17" s="106"/>
      <c r="M17" s="106"/>
      <c r="N17" s="106"/>
      <c r="O17" s="106"/>
      <c r="P17" s="106"/>
      <c r="Q17" s="106"/>
      <c r="R17" s="106"/>
      <c r="S17" s="106"/>
      <c r="T17" s="106"/>
      <c r="U17" s="107"/>
      <c r="W17" s="35" t="str">
        <f>"-- "&amp;C17</f>
        <v>-- バックアップ_処方データ_組入れ第一条件テーブルから組入れ条件で絞り込んだ結果を組入れ_対象処方テーブルに格納する。</v>
      </c>
    </row>
    <row r="19" spans="2:23" ht="18.75" customHeight="1">
      <c r="C19" s="96" t="s">
        <v>3842</v>
      </c>
      <c r="D19" s="97"/>
      <c r="E19" s="100" t="str">
        <f>エンティティ一覧!$O$2</f>
        <v>milscm_2023_010</v>
      </c>
      <c r="H19" s="36"/>
      <c r="I19" s="36"/>
      <c r="J19" s="36"/>
      <c r="K19" s="36"/>
      <c r="L19" s="36"/>
      <c r="M19" s="36"/>
      <c r="N19" s="36"/>
      <c r="O19" s="36"/>
      <c r="P19" s="36"/>
      <c r="Q19" s="36"/>
      <c r="R19" s="96" t="s">
        <v>3718</v>
      </c>
      <c r="S19" s="97"/>
      <c r="T19" s="100" t="str">
        <f>エンティティ一覧!$O$2</f>
        <v>milscm_2023_010</v>
      </c>
    </row>
    <row r="20" spans="2:23" ht="18.75" customHeight="1">
      <c r="C20" s="98"/>
      <c r="D20" s="99"/>
      <c r="E20" s="101"/>
      <c r="F20" s="37"/>
      <c r="G20" s="38"/>
      <c r="H20" s="37"/>
      <c r="I20" s="37"/>
      <c r="J20" s="37"/>
      <c r="K20" s="37"/>
      <c r="L20" s="37"/>
      <c r="M20" s="37"/>
      <c r="N20" s="37"/>
      <c r="O20" s="37"/>
      <c r="P20" s="37"/>
      <c r="Q20" s="37"/>
      <c r="R20" s="98"/>
      <c r="S20" s="99"/>
      <c r="T20" s="101"/>
    </row>
    <row r="21" spans="2:23" ht="18.75" customHeight="1">
      <c r="F21" s="39"/>
      <c r="G21" s="40"/>
    </row>
    <row r="22" spans="2:23" ht="18.75" customHeight="1">
      <c r="C22" s="96" t="s">
        <v>3715</v>
      </c>
      <c r="D22" s="97"/>
      <c r="E22" s="100" t="str">
        <f>エンティティ一覧!$O$2</f>
        <v>milscm_2023_010</v>
      </c>
      <c r="G22" s="41"/>
    </row>
    <row r="23" spans="2:23" ht="18.75" customHeight="1">
      <c r="C23" s="98"/>
      <c r="D23" s="99"/>
      <c r="E23" s="101"/>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191</v>
      </c>
      <c r="D27" s="91"/>
      <c r="W27" s="35" t="str">
        <f>"-- "&amp;B27&amp;" : "&amp;C27</f>
        <v>-- SQL_ID : 11_03</v>
      </c>
    </row>
    <row r="28" spans="2:23" ht="18.75" customHeight="1">
      <c r="B28" s="43" t="s">
        <v>158</v>
      </c>
      <c r="C28" s="102" t="str">
        <f>R31&amp;"登録"</f>
        <v>組入れ_対象患者登録</v>
      </c>
      <c r="D28" s="103"/>
      <c r="E28" s="103"/>
      <c r="F28" s="103"/>
      <c r="G28" s="103"/>
      <c r="H28" s="103"/>
      <c r="I28" s="103"/>
      <c r="J28" s="103"/>
      <c r="K28" s="103"/>
      <c r="L28" s="103"/>
      <c r="M28" s="103"/>
      <c r="N28" s="103"/>
      <c r="O28" s="103"/>
      <c r="P28" s="103"/>
      <c r="Q28" s="103"/>
      <c r="R28" s="103"/>
      <c r="S28" s="103"/>
      <c r="T28" s="103"/>
      <c r="U28" s="104"/>
      <c r="W28" s="35" t="str">
        <f>"-- "&amp;C28</f>
        <v>-- 組入れ_対象患者登録</v>
      </c>
    </row>
    <row r="29" spans="2:23" ht="18.75" customHeight="1">
      <c r="B29" s="43" t="s">
        <v>159</v>
      </c>
      <c r="C29" s="105" t="s">
        <v>3720</v>
      </c>
      <c r="D29" s="106"/>
      <c r="E29" s="106"/>
      <c r="F29" s="106"/>
      <c r="G29" s="106"/>
      <c r="H29" s="106"/>
      <c r="I29" s="106"/>
      <c r="J29" s="106"/>
      <c r="K29" s="106"/>
      <c r="L29" s="106"/>
      <c r="M29" s="106"/>
      <c r="N29" s="106"/>
      <c r="O29" s="106"/>
      <c r="P29" s="106"/>
      <c r="Q29" s="106"/>
      <c r="R29" s="106"/>
      <c r="S29" s="106"/>
      <c r="T29" s="106"/>
      <c r="U29" s="107"/>
      <c r="W29" s="35" t="str">
        <f>"-- "&amp;C29</f>
        <v>-- バックアップ_処方データ_組み入れ第一条件から診療年月が契約開始以降の対象処方を登録する。</v>
      </c>
    </row>
    <row r="31" spans="2:23" ht="18.75" customHeight="1">
      <c r="C31" s="96" t="s">
        <v>3719</v>
      </c>
      <c r="D31" s="97"/>
      <c r="E31" s="100" t="str">
        <f>エンティティ一覧!$O$2</f>
        <v>milscm_2023_010</v>
      </c>
      <c r="F31" s="36"/>
      <c r="G31" s="36"/>
      <c r="H31" s="36"/>
      <c r="I31" s="36"/>
      <c r="J31" s="36"/>
      <c r="M31" s="36"/>
      <c r="N31" s="36"/>
      <c r="O31" s="36"/>
      <c r="P31" s="36"/>
      <c r="Q31" s="36"/>
      <c r="R31" s="96" t="s">
        <v>188</v>
      </c>
      <c r="S31" s="97"/>
      <c r="T31" s="100" t="str">
        <f>エンティティ一覧!$O$2</f>
        <v>milscm_2023_010</v>
      </c>
    </row>
    <row r="32" spans="2:23" ht="18.75" customHeight="1">
      <c r="C32" s="98"/>
      <c r="D32" s="99"/>
      <c r="E32" s="101"/>
      <c r="F32" s="37"/>
      <c r="G32" s="37"/>
      <c r="H32" s="37"/>
      <c r="I32" s="37"/>
      <c r="J32" s="37"/>
      <c r="K32" s="37"/>
      <c r="L32" s="38"/>
      <c r="M32" s="37"/>
      <c r="N32" s="37"/>
      <c r="O32" s="37"/>
      <c r="P32" s="37"/>
      <c r="Q32" s="37"/>
      <c r="R32" s="98"/>
      <c r="S32" s="99"/>
      <c r="T32" s="101"/>
    </row>
    <row r="33" spans="2:23" ht="18.75" customHeight="1">
      <c r="K33" s="39"/>
      <c r="L33" s="40"/>
    </row>
    <row r="34" spans="2:23" ht="18.75" customHeight="1">
      <c r="C34" s="96" t="s">
        <v>3715</v>
      </c>
      <c r="D34" s="97"/>
      <c r="E34" s="100" t="str">
        <f>エンティティ一覧!$O$2</f>
        <v>milscm_2023_010</v>
      </c>
      <c r="F34" s="36"/>
      <c r="G34" s="36"/>
      <c r="H34" s="36"/>
      <c r="I34" s="36"/>
      <c r="J34" s="36"/>
      <c r="L34" s="41"/>
    </row>
    <row r="35" spans="2:23" ht="18.75" customHeight="1">
      <c r="C35" s="98"/>
      <c r="D35" s="99"/>
      <c r="E35" s="101"/>
      <c r="F35" s="37"/>
      <c r="G35" s="37"/>
      <c r="H35" s="37"/>
      <c r="I35" s="37"/>
      <c r="J35" s="37"/>
      <c r="K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3721</v>
      </c>
      <c r="D39" s="52"/>
      <c r="W39" s="35" t="str">
        <f>"-- "&amp;B39&amp;" : "&amp;C39</f>
        <v>-- SQL_ID : 11_04</v>
      </c>
    </row>
    <row r="40" spans="2:23" ht="18.75" customHeight="1">
      <c r="B40" s="43" t="s">
        <v>158</v>
      </c>
      <c r="C40" s="102" t="s">
        <v>947</v>
      </c>
      <c r="D40" s="103"/>
      <c r="E40" s="103"/>
      <c r="F40" s="103"/>
      <c r="G40" s="103"/>
      <c r="H40" s="103"/>
      <c r="I40" s="103"/>
      <c r="J40" s="103"/>
      <c r="K40" s="103"/>
      <c r="L40" s="103"/>
      <c r="M40" s="103"/>
      <c r="N40" s="103"/>
      <c r="O40" s="103"/>
      <c r="P40" s="103"/>
      <c r="Q40" s="103"/>
      <c r="R40" s="103"/>
      <c r="S40" s="103"/>
      <c r="T40" s="103"/>
      <c r="U40" s="104"/>
      <c r="W40" s="35" t="str">
        <f>"-- "&amp;C40</f>
        <v>-- 組入れ_施設別患者数_取得</v>
      </c>
    </row>
    <row r="41" spans="2:23" ht="18.75" customHeight="1">
      <c r="B41" s="43" t="s">
        <v>159</v>
      </c>
      <c r="C41" s="105" t="s">
        <v>3843</v>
      </c>
      <c r="D41" s="106"/>
      <c r="E41" s="106"/>
      <c r="F41" s="106"/>
      <c r="G41" s="106"/>
      <c r="H41" s="106"/>
      <c r="I41" s="106"/>
      <c r="J41" s="106"/>
      <c r="K41" s="106"/>
      <c r="L41" s="106"/>
      <c r="M41" s="106"/>
      <c r="N41" s="106"/>
      <c r="O41" s="106"/>
      <c r="P41" s="106"/>
      <c r="Q41" s="106"/>
      <c r="R41" s="106"/>
      <c r="S41" s="106"/>
      <c r="T41" s="106"/>
      <c r="U41" s="107"/>
      <c r="W41" s="35" t="str">
        <f>"-- "&amp;C41</f>
        <v>-- 施設別の患者数の集計結果を取得する。　※フィージビリティ調査対象施設+名古屋第一が対象となっていて、事前調査時点の862名と比較して同程度であるか確認する。</v>
      </c>
    </row>
    <row r="43" spans="2:23" ht="18.75" customHeight="1">
      <c r="C43" s="96" t="s">
        <v>175</v>
      </c>
      <c r="D43" s="97"/>
      <c r="E43" s="100" t="str">
        <f>エンティティ一覧!$O$2</f>
        <v>milscm_2023_010</v>
      </c>
      <c r="F43" s="36"/>
      <c r="G43" s="36"/>
      <c r="H43" s="36"/>
      <c r="I43" s="36"/>
      <c r="J43" s="36"/>
      <c r="K43" s="36"/>
      <c r="L43" s="36"/>
      <c r="M43" s="36"/>
      <c r="N43" s="36"/>
      <c r="O43" s="36"/>
      <c r="P43" s="36"/>
      <c r="Q43" s="36"/>
      <c r="R43" s="96" t="s">
        <v>189</v>
      </c>
      <c r="S43" s="97"/>
      <c r="T43" s="100" t="s">
        <v>177</v>
      </c>
    </row>
    <row r="44" spans="2:23" ht="18.75" customHeight="1">
      <c r="C44" s="98"/>
      <c r="D44" s="99"/>
      <c r="E44" s="101"/>
      <c r="F44" s="37"/>
      <c r="G44" s="37"/>
      <c r="H44" s="37"/>
      <c r="I44" s="37"/>
      <c r="J44" s="37"/>
      <c r="K44" s="37"/>
      <c r="L44" s="37"/>
      <c r="M44" s="37"/>
      <c r="N44" s="37"/>
      <c r="O44" s="37"/>
      <c r="P44" s="37"/>
      <c r="Q44" s="37"/>
      <c r="R44" s="98"/>
      <c r="S44" s="99"/>
      <c r="T44" s="101"/>
    </row>
    <row r="50" spans="2:21" ht="18.75" customHeight="1" thickBot="1">
      <c r="B50" s="42"/>
      <c r="C50" s="42"/>
      <c r="D50" s="42"/>
      <c r="E50" s="42"/>
      <c r="F50" s="42"/>
      <c r="G50" s="42"/>
      <c r="H50" s="42"/>
      <c r="I50" s="42"/>
      <c r="J50" s="42"/>
      <c r="K50" s="42"/>
      <c r="L50" s="42"/>
      <c r="M50" s="42"/>
      <c r="N50" s="42"/>
      <c r="O50" s="42"/>
      <c r="P50" s="42"/>
      <c r="Q50" s="42"/>
      <c r="R50" s="42"/>
      <c r="S50" s="42"/>
      <c r="T50" s="42"/>
      <c r="U50" s="42"/>
    </row>
  </sheetData>
  <mergeCells count="30">
    <mergeCell ref="C22:D23"/>
    <mergeCell ref="E22:E23"/>
    <mergeCell ref="C17:U17"/>
    <mergeCell ref="C19:D20"/>
    <mergeCell ref="E19:E20"/>
    <mergeCell ref="R19:S20"/>
    <mergeCell ref="T19:T20"/>
    <mergeCell ref="C43:D44"/>
    <mergeCell ref="E43:E44"/>
    <mergeCell ref="R43:S44"/>
    <mergeCell ref="T43:T44"/>
    <mergeCell ref="C4:U4"/>
    <mergeCell ref="C5:U5"/>
    <mergeCell ref="C7:D8"/>
    <mergeCell ref="E7:E8"/>
    <mergeCell ref="R7:S8"/>
    <mergeCell ref="T7:T8"/>
    <mergeCell ref="C10:D11"/>
    <mergeCell ref="E10:E11"/>
    <mergeCell ref="C28:U28"/>
    <mergeCell ref="C16:U16"/>
    <mergeCell ref="C40:U40"/>
    <mergeCell ref="C41:U41"/>
    <mergeCell ref="C34:D35"/>
    <mergeCell ref="E34:E35"/>
    <mergeCell ref="C29:U29"/>
    <mergeCell ref="C31:D32"/>
    <mergeCell ref="E31:E32"/>
    <mergeCell ref="R31:S32"/>
    <mergeCell ref="T31:T3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pageSetUpPr fitToPage="1"/>
  </sheetPr>
  <dimension ref="B3:W51"/>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176</v>
      </c>
      <c r="D3" s="50"/>
      <c r="W3" s="35" t="str">
        <f>"-- "&amp;B3&amp;" : "&amp;C3</f>
        <v>-- SQL_ID : 21_01</v>
      </c>
    </row>
    <row r="4" spans="2:23" ht="18.75" customHeight="1">
      <c r="B4" s="43" t="s">
        <v>158</v>
      </c>
      <c r="C4" s="102" t="str">
        <f>R7&amp;"登録"</f>
        <v>患者ID一覧マスタ登録</v>
      </c>
      <c r="D4" s="103"/>
      <c r="E4" s="103"/>
      <c r="F4" s="103"/>
      <c r="G4" s="103"/>
      <c r="H4" s="103"/>
      <c r="I4" s="103"/>
      <c r="J4" s="103"/>
      <c r="K4" s="103"/>
      <c r="L4" s="103"/>
      <c r="M4" s="103"/>
      <c r="N4" s="103"/>
      <c r="O4" s="103"/>
      <c r="P4" s="103"/>
      <c r="Q4" s="103"/>
      <c r="R4" s="103"/>
      <c r="S4" s="103"/>
      <c r="T4" s="103"/>
      <c r="U4" s="104"/>
      <c r="W4" s="35" t="str">
        <f>"-- "&amp;C4</f>
        <v>-- 患者ID一覧マスタ登録</v>
      </c>
    </row>
    <row r="5" spans="2:23" ht="18.75" customHeight="1">
      <c r="B5" s="43" t="s">
        <v>159</v>
      </c>
      <c r="C5" s="105" t="str">
        <f>C10&amp;"テーブルから"&amp;C13&amp;"テーブルに存在する患者IDで絞り込んだ結果を"&amp;R7&amp;"テーブルに格納する。"</f>
        <v>二次利用DB登録患者紐付けデータテーブルから組入れ_対象患者テーブルに存在する患者IDで絞り込んだ結果を患者ID一覧マスタテーブルに格納する。</v>
      </c>
      <c r="D5" s="106"/>
      <c r="E5" s="106"/>
      <c r="F5" s="106"/>
      <c r="G5" s="106"/>
      <c r="H5" s="106"/>
      <c r="I5" s="106"/>
      <c r="J5" s="106"/>
      <c r="K5" s="106"/>
      <c r="L5" s="106"/>
      <c r="M5" s="106"/>
      <c r="N5" s="106"/>
      <c r="O5" s="106"/>
      <c r="P5" s="106"/>
      <c r="Q5" s="106"/>
      <c r="R5" s="106"/>
      <c r="S5" s="106"/>
      <c r="T5" s="106"/>
      <c r="U5" s="107"/>
      <c r="W5" s="35" t="str">
        <f>"-- "&amp;C5</f>
        <v>-- 二次利用DB登録患者紐付けデータテーブルから組入れ_対象患者テーブルに存在する患者IDで絞り込んだ結果を患者ID一覧マスタテーブルに格納する。</v>
      </c>
    </row>
    <row r="7" spans="2:23" ht="18.75" customHeight="1">
      <c r="H7" s="96" t="s">
        <v>3228</v>
      </c>
      <c r="I7" s="97"/>
      <c r="J7" s="108" t="s">
        <v>162</v>
      </c>
      <c r="K7" s="36"/>
      <c r="M7" s="36"/>
      <c r="N7" s="36"/>
      <c r="O7" s="36"/>
      <c r="R7" s="96" t="s">
        <v>3787</v>
      </c>
      <c r="S7" s="97"/>
      <c r="T7" s="100" t="str">
        <f>エンティティ一覧!$O$2</f>
        <v>milscm_2023_010</v>
      </c>
    </row>
    <row r="8" spans="2:23" ht="18.75" customHeight="1">
      <c r="H8" s="98"/>
      <c r="I8" s="99"/>
      <c r="J8" s="109"/>
      <c r="K8" s="37"/>
      <c r="L8" s="38"/>
      <c r="M8" s="37"/>
      <c r="N8" s="37"/>
      <c r="O8" s="37"/>
      <c r="P8" s="37"/>
      <c r="Q8" s="38"/>
      <c r="R8" s="98"/>
      <c r="S8" s="99"/>
      <c r="T8" s="101"/>
    </row>
    <row r="9" spans="2:23" ht="18.75" customHeight="1">
      <c r="K9" s="39"/>
      <c r="L9" s="40"/>
      <c r="P9" s="39"/>
      <c r="Q9" s="40"/>
    </row>
    <row r="10" spans="2:23" ht="18.75" customHeight="1">
      <c r="C10" s="96" t="s">
        <v>3228</v>
      </c>
      <c r="D10" s="97"/>
      <c r="E10" s="108" t="s">
        <v>162</v>
      </c>
      <c r="H10" s="36"/>
      <c r="I10" s="36"/>
      <c r="J10" s="36"/>
      <c r="L10" s="41"/>
      <c r="P10" s="39"/>
      <c r="Q10" s="40"/>
    </row>
    <row r="11" spans="2:23" ht="18.75" customHeight="1">
      <c r="C11" s="98"/>
      <c r="D11" s="99"/>
      <c r="E11" s="109"/>
      <c r="F11" s="37"/>
      <c r="G11" s="38"/>
      <c r="H11" s="37"/>
      <c r="I11" s="37"/>
      <c r="J11" s="37"/>
      <c r="K11" s="37"/>
      <c r="P11" s="39"/>
      <c r="Q11" s="40"/>
    </row>
    <row r="12" spans="2:23" ht="18.75" customHeight="1">
      <c r="F12" s="39"/>
      <c r="G12" s="40"/>
      <c r="P12" s="39"/>
      <c r="Q12" s="40"/>
    </row>
    <row r="13" spans="2:23" ht="18.75" customHeight="1">
      <c r="C13" s="96" t="s">
        <v>175</v>
      </c>
      <c r="D13" s="97"/>
      <c r="E13" s="100" t="str">
        <f>エンティティ一覧!$O$2</f>
        <v>milscm_2023_010</v>
      </c>
      <c r="G13" s="41"/>
      <c r="P13" s="39"/>
      <c r="Q13" s="40"/>
    </row>
    <row r="14" spans="2:23" ht="18.75" customHeight="1">
      <c r="C14" s="98"/>
      <c r="D14" s="99"/>
      <c r="E14" s="101"/>
      <c r="F14" s="37"/>
      <c r="P14" s="39"/>
      <c r="Q14" s="40"/>
    </row>
    <row r="15" spans="2:23" ht="18.75" customHeight="1">
      <c r="P15" s="39"/>
      <c r="Q15" s="40"/>
    </row>
    <row r="16" spans="2:23" ht="18.75" customHeight="1">
      <c r="M16" s="96" t="s">
        <v>3713</v>
      </c>
      <c r="N16" s="97"/>
      <c r="O16" s="108" t="s">
        <v>162</v>
      </c>
      <c r="Q16" s="41"/>
    </row>
    <row r="17" spans="2:23" ht="18.75" customHeight="1">
      <c r="M17" s="98"/>
      <c r="N17" s="99"/>
      <c r="O17" s="109"/>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179</v>
      </c>
      <c r="D21" s="93"/>
      <c r="W21" s="35" t="str">
        <f>"-- "&amp;B21&amp;" : "&amp;C21</f>
        <v>-- SQL_ID : 21_02</v>
      </c>
    </row>
    <row r="22" spans="2:23" ht="18.75" customHeight="1">
      <c r="B22" s="43" t="s">
        <v>158</v>
      </c>
      <c r="C22" s="102" t="str">
        <f>R25&amp;"登録"</f>
        <v>患者マスタ登録</v>
      </c>
      <c r="D22" s="103"/>
      <c r="E22" s="103"/>
      <c r="F22" s="103"/>
      <c r="G22" s="103"/>
      <c r="H22" s="103"/>
      <c r="I22" s="103"/>
      <c r="J22" s="103"/>
      <c r="K22" s="103"/>
      <c r="L22" s="103"/>
      <c r="M22" s="103"/>
      <c r="N22" s="103"/>
      <c r="O22" s="103"/>
      <c r="P22" s="103"/>
      <c r="Q22" s="103"/>
      <c r="R22" s="103"/>
      <c r="S22" s="103"/>
      <c r="T22" s="103"/>
      <c r="U22" s="104"/>
      <c r="W22" s="35" t="str">
        <f>"-- "&amp;C22</f>
        <v>-- 患者マスタ登録</v>
      </c>
    </row>
    <row r="23" spans="2:23" ht="18.75" customHeight="1">
      <c r="B23" s="43" t="s">
        <v>159</v>
      </c>
      <c r="C23" s="125"/>
      <c r="D23" s="126"/>
      <c r="E23" s="126"/>
      <c r="F23" s="126"/>
      <c r="G23" s="126"/>
      <c r="H23" s="126"/>
      <c r="I23" s="126"/>
      <c r="J23" s="126"/>
      <c r="K23" s="126"/>
      <c r="L23" s="126"/>
      <c r="M23" s="126"/>
      <c r="N23" s="126"/>
      <c r="O23" s="126"/>
      <c r="P23" s="126"/>
      <c r="Q23" s="126"/>
      <c r="R23" s="126"/>
      <c r="S23" s="126"/>
      <c r="T23" s="126"/>
      <c r="U23" s="127"/>
      <c r="W23" s="35" t="str">
        <f>"-- "&amp;C23</f>
        <v xml:space="preserve">-- </v>
      </c>
    </row>
    <row r="25" spans="2:23" ht="18.75" customHeight="1">
      <c r="C25" s="96" t="s">
        <v>3787</v>
      </c>
      <c r="D25" s="97"/>
      <c r="E25" s="100" t="str">
        <f>エンティティ一覧!$O$2</f>
        <v>milscm_2023_010</v>
      </c>
      <c r="F25" s="36"/>
      <c r="G25" s="36"/>
      <c r="H25" s="36"/>
      <c r="I25" s="36"/>
      <c r="J25" s="36"/>
      <c r="K25" s="36"/>
      <c r="L25" s="36"/>
      <c r="M25" s="36"/>
      <c r="N25" s="36"/>
      <c r="O25" s="36"/>
      <c r="P25" s="36"/>
      <c r="Q25" s="36"/>
      <c r="R25" s="96" t="s">
        <v>187</v>
      </c>
      <c r="S25" s="97"/>
      <c r="T25" s="100" t="str">
        <f>エンティティ一覧!$O$2</f>
        <v>milscm_2023_010</v>
      </c>
    </row>
    <row r="26" spans="2:23" ht="18.75" customHeight="1">
      <c r="C26" s="98"/>
      <c r="D26" s="99"/>
      <c r="E26" s="101"/>
      <c r="F26" s="37"/>
      <c r="G26" s="37"/>
      <c r="H26" s="37"/>
      <c r="I26" s="37"/>
      <c r="J26" s="37"/>
      <c r="K26" s="37"/>
      <c r="L26" s="37"/>
      <c r="M26" s="37"/>
      <c r="N26" s="37"/>
      <c r="O26" s="37"/>
      <c r="P26" s="37"/>
      <c r="Q26" s="37"/>
      <c r="R26" s="98"/>
      <c r="S26" s="99"/>
      <c r="T26" s="101"/>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63" t="s">
        <v>945</v>
      </c>
      <c r="C30" s="51" t="s">
        <v>179</v>
      </c>
      <c r="D30" s="77"/>
    </row>
    <row r="31" spans="2:23" ht="18.75" customHeight="1">
      <c r="B31" s="63" t="s">
        <v>559</v>
      </c>
      <c r="C31" s="122" t="s">
        <v>940</v>
      </c>
      <c r="D31" s="123"/>
      <c r="E31" s="123"/>
      <c r="F31" s="123"/>
      <c r="G31" s="123"/>
      <c r="H31" s="123"/>
      <c r="I31" s="123"/>
      <c r="J31" s="123"/>
      <c r="K31" s="123"/>
      <c r="L31" s="123"/>
      <c r="M31" s="123"/>
      <c r="N31" s="123"/>
      <c r="O31" s="123"/>
      <c r="P31" s="123"/>
      <c r="Q31" s="123"/>
      <c r="R31" s="123"/>
      <c r="S31" s="123"/>
      <c r="T31" s="123"/>
      <c r="U31" s="124"/>
    </row>
    <row r="32" spans="2:23" ht="18.75" customHeight="1">
      <c r="B32" s="63" t="s">
        <v>159</v>
      </c>
      <c r="C32" s="125" t="s">
        <v>939</v>
      </c>
      <c r="D32" s="126"/>
      <c r="E32" s="126"/>
      <c r="F32" s="126"/>
      <c r="G32" s="126"/>
      <c r="H32" s="126"/>
      <c r="I32" s="126"/>
      <c r="J32" s="126"/>
      <c r="K32" s="126"/>
      <c r="L32" s="126"/>
      <c r="M32" s="126"/>
      <c r="N32" s="126"/>
      <c r="O32" s="126"/>
      <c r="P32" s="126"/>
      <c r="Q32" s="126"/>
      <c r="R32" s="126"/>
      <c r="S32" s="126"/>
      <c r="T32" s="126"/>
      <c r="U32" s="127"/>
    </row>
    <row r="34" spans="2:23" ht="18.75" customHeight="1">
      <c r="C34" s="96" t="s">
        <v>178</v>
      </c>
      <c r="D34" s="97"/>
      <c r="E34" s="100" t="s">
        <v>177</v>
      </c>
      <c r="F34" s="36"/>
      <c r="G34" s="100"/>
      <c r="H34" s="128" t="s">
        <v>941</v>
      </c>
      <c r="I34" s="129"/>
      <c r="J34" s="130"/>
      <c r="K34" s="100"/>
      <c r="L34" s="36"/>
      <c r="M34" s="36"/>
      <c r="N34" s="36"/>
      <c r="O34" s="36"/>
      <c r="P34" s="36"/>
      <c r="Q34" s="36"/>
      <c r="R34" s="96" t="s">
        <v>560</v>
      </c>
      <c r="S34" s="97"/>
      <c r="T34" s="100" t="s">
        <v>177</v>
      </c>
    </row>
    <row r="35" spans="2:23" ht="18.75" customHeight="1">
      <c r="C35" s="98"/>
      <c r="D35" s="99"/>
      <c r="E35" s="101"/>
      <c r="F35" s="37"/>
      <c r="G35" s="101"/>
      <c r="H35" s="131"/>
      <c r="I35" s="132"/>
      <c r="J35" s="133"/>
      <c r="K35" s="101"/>
      <c r="L35" s="37"/>
      <c r="M35" s="37"/>
      <c r="N35" s="37"/>
      <c r="O35" s="37"/>
      <c r="P35" s="37"/>
      <c r="Q35" s="37"/>
      <c r="R35" s="98"/>
      <c r="S35" s="99"/>
      <c r="T35" s="101"/>
    </row>
    <row r="36" spans="2:23" ht="18.75" customHeight="1">
      <c r="C36" s="35" t="s">
        <v>943</v>
      </c>
      <c r="H36" s="76" t="s">
        <v>931</v>
      </c>
      <c r="R36" s="35" t="s">
        <v>942</v>
      </c>
    </row>
    <row r="37" spans="2:23" ht="18.75" customHeight="1">
      <c r="C37" s="35" t="s">
        <v>944</v>
      </c>
      <c r="H37" s="76" t="s">
        <v>897</v>
      </c>
    </row>
    <row r="38" spans="2:23" ht="18.75" customHeight="1">
      <c r="H38" s="76" t="s">
        <v>938</v>
      </c>
    </row>
    <row r="39" spans="2:23" ht="18.75" customHeight="1">
      <c r="H39" s="76" t="s">
        <v>921</v>
      </c>
    </row>
    <row r="40" spans="2:23" ht="18.75" customHeight="1">
      <c r="H40" s="76" t="s">
        <v>922</v>
      </c>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946</v>
      </c>
      <c r="D43" s="62"/>
      <c r="W43" s="35" t="str">
        <f>"-- "&amp;B43&amp;" : "&amp;C43</f>
        <v>-- SQL_ID : 21_03</v>
      </c>
    </row>
    <row r="44" spans="2:23" ht="18.75" customHeight="1">
      <c r="B44" s="43" t="s">
        <v>158</v>
      </c>
      <c r="C44" s="102" t="str">
        <f>R47&amp;"投入"</f>
        <v>疾患マスタ投入</v>
      </c>
      <c r="D44" s="103"/>
      <c r="E44" s="103"/>
      <c r="F44" s="103"/>
      <c r="G44" s="103"/>
      <c r="H44" s="103"/>
      <c r="I44" s="103"/>
      <c r="J44" s="103"/>
      <c r="K44" s="103"/>
      <c r="L44" s="103"/>
      <c r="M44" s="103"/>
      <c r="N44" s="103"/>
      <c r="O44" s="103"/>
      <c r="P44" s="103"/>
      <c r="Q44" s="103"/>
      <c r="R44" s="103"/>
      <c r="S44" s="103"/>
      <c r="T44" s="103"/>
      <c r="U44" s="104"/>
      <c r="W44" s="35" t="str">
        <f>"-- "&amp;C44</f>
        <v>-- 疾患マスタ投入</v>
      </c>
    </row>
    <row r="45" spans="2:23" ht="18.75" customHeight="1">
      <c r="B45" s="43" t="s">
        <v>159</v>
      </c>
      <c r="C45" s="105" t="s">
        <v>561</v>
      </c>
      <c r="D45" s="106"/>
      <c r="E45" s="106"/>
      <c r="F45" s="106"/>
      <c r="G45" s="106"/>
      <c r="H45" s="106"/>
      <c r="I45" s="106"/>
      <c r="J45" s="106"/>
      <c r="K45" s="106"/>
      <c r="L45" s="106"/>
      <c r="M45" s="106"/>
      <c r="N45" s="106"/>
      <c r="O45" s="106"/>
      <c r="P45" s="106"/>
      <c r="Q45" s="106"/>
      <c r="R45" s="106"/>
      <c r="S45" s="106"/>
      <c r="T45" s="106"/>
      <c r="U45" s="107"/>
      <c r="W45" s="35" t="str">
        <f>"-- "&amp;C45</f>
        <v>-- 疾患マスタ（補正後）を疾患マスタに投入する。</v>
      </c>
    </row>
    <row r="47" spans="2:23" ht="18.75" customHeight="1">
      <c r="C47" s="96" t="s">
        <v>560</v>
      </c>
      <c r="D47" s="97"/>
      <c r="E47" s="100" t="s">
        <v>177</v>
      </c>
      <c r="F47" s="36"/>
      <c r="G47" s="36"/>
      <c r="H47" s="36"/>
      <c r="I47" s="36"/>
      <c r="J47" s="36"/>
      <c r="K47" s="36"/>
      <c r="L47" s="36"/>
      <c r="M47" s="36"/>
      <c r="N47" s="36"/>
      <c r="O47" s="36"/>
      <c r="P47" s="36"/>
      <c r="Q47" s="36"/>
      <c r="R47" s="96" t="s">
        <v>178</v>
      </c>
      <c r="S47" s="97"/>
      <c r="T47" s="100" t="s">
        <v>167</v>
      </c>
    </row>
    <row r="48" spans="2:23" ht="18.75" customHeight="1">
      <c r="C48" s="98"/>
      <c r="D48" s="99"/>
      <c r="E48" s="101"/>
      <c r="F48" s="37"/>
      <c r="G48" s="37"/>
      <c r="H48" s="37"/>
      <c r="I48" s="37"/>
      <c r="J48" s="37"/>
      <c r="K48" s="37"/>
      <c r="L48" s="37"/>
      <c r="M48" s="37"/>
      <c r="N48" s="37"/>
      <c r="O48" s="37"/>
      <c r="P48" s="37"/>
      <c r="Q48" s="37"/>
      <c r="R48" s="98"/>
      <c r="S48" s="99"/>
      <c r="T48" s="101"/>
    </row>
    <row r="51" spans="2:21" ht="18.75" customHeight="1" thickBot="1">
      <c r="B51" s="42"/>
      <c r="C51" s="42"/>
      <c r="D51" s="42"/>
      <c r="E51" s="42"/>
      <c r="F51" s="42"/>
      <c r="G51" s="42"/>
      <c r="H51" s="42"/>
      <c r="I51" s="42"/>
      <c r="J51" s="42"/>
      <c r="K51" s="42"/>
      <c r="L51" s="42"/>
      <c r="M51" s="42"/>
      <c r="N51" s="42"/>
      <c r="O51" s="42"/>
      <c r="P51" s="42"/>
      <c r="Q51" s="42"/>
      <c r="R51" s="42"/>
      <c r="S51" s="42"/>
      <c r="T51" s="42"/>
      <c r="U51" s="42"/>
    </row>
  </sheetData>
  <mergeCells count="33">
    <mergeCell ref="C4:U4"/>
    <mergeCell ref="C5:U5"/>
    <mergeCell ref="H7:I8"/>
    <mergeCell ref="J7:J8"/>
    <mergeCell ref="R7:S8"/>
    <mergeCell ref="T7:T8"/>
    <mergeCell ref="C10:D11"/>
    <mergeCell ref="E10:E11"/>
    <mergeCell ref="C13:D14"/>
    <mergeCell ref="E13:E14"/>
    <mergeCell ref="M16:N17"/>
    <mergeCell ref="O16:O17"/>
    <mergeCell ref="E25:E26"/>
    <mergeCell ref="T25:T26"/>
    <mergeCell ref="C44:U44"/>
    <mergeCell ref="C45:U45"/>
    <mergeCell ref="C25:D26"/>
    <mergeCell ref="H34:J35"/>
    <mergeCell ref="C22:U22"/>
    <mergeCell ref="C23:U23"/>
    <mergeCell ref="R25:S26"/>
    <mergeCell ref="C47:D48"/>
    <mergeCell ref="E47:E48"/>
    <mergeCell ref="R47:S48"/>
    <mergeCell ref="T47:T48"/>
    <mergeCell ref="C31:U31"/>
    <mergeCell ref="C32:U32"/>
    <mergeCell ref="C34:D35"/>
    <mergeCell ref="E34:E35"/>
    <mergeCell ref="R34:S35"/>
    <mergeCell ref="T34:T35"/>
    <mergeCell ref="K34:K35"/>
    <mergeCell ref="G34:G35"/>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3:W361"/>
  <sheetViews>
    <sheetView showGridLines="0" zoomScaleNormal="100" workbookViewId="0"/>
  </sheetViews>
  <sheetFormatPr defaultColWidth="9" defaultRowHeight="18.75" customHeight="1"/>
  <cols>
    <col min="1" max="1" width="2.625" style="35" customWidth="1"/>
    <col min="2" max="2" width="9" style="35"/>
    <col min="3" max="5" width="13.375" style="35" customWidth="1"/>
    <col min="6" max="7" width="3.625" style="35" customWidth="1"/>
    <col min="8" max="10" width="13.375" style="35" customWidth="1"/>
    <col min="11" max="12" width="3.625" style="35" customWidth="1"/>
    <col min="13" max="15" width="13.375" style="35" customWidth="1"/>
    <col min="16" max="17" width="3.625" style="35" customWidth="1"/>
    <col min="18" max="20" width="13.375" style="35" customWidth="1"/>
    <col min="21" max="16384" width="9" style="35"/>
  </cols>
  <sheetData>
    <row r="3" spans="2:23" ht="18.75" customHeight="1">
      <c r="B3" s="43" t="s">
        <v>163</v>
      </c>
      <c r="C3" s="51" t="s">
        <v>3795</v>
      </c>
      <c r="D3" s="94"/>
      <c r="W3" s="35" t="str">
        <f>"-- "&amp;B3&amp;" : "&amp;C3</f>
        <v>-- SQL_ID : 31_A1-02</v>
      </c>
    </row>
    <row r="4" spans="2:23" ht="18.75" customHeight="1">
      <c r="B4" s="43" t="s">
        <v>158</v>
      </c>
      <c r="C4" s="102" t="str">
        <f>R7&amp;"登録"</f>
        <v>ベース_処方データ登録</v>
      </c>
      <c r="D4" s="103"/>
      <c r="E4" s="103"/>
      <c r="F4" s="103"/>
      <c r="G4" s="103"/>
      <c r="H4" s="103"/>
      <c r="I4" s="103"/>
      <c r="J4" s="103"/>
      <c r="K4" s="103"/>
      <c r="L4" s="103"/>
      <c r="M4" s="103"/>
      <c r="N4" s="103"/>
      <c r="O4" s="103"/>
      <c r="P4" s="103"/>
      <c r="Q4" s="103"/>
      <c r="R4" s="103"/>
      <c r="S4" s="103"/>
      <c r="T4" s="103"/>
      <c r="U4" s="104"/>
      <c r="W4" s="35" t="str">
        <f>"-- "&amp;C4</f>
        <v>-- ベース_処方データ登録</v>
      </c>
    </row>
    <row r="5" spans="2:23" ht="18.75" customHeight="1">
      <c r="B5" s="43" t="s">
        <v>159</v>
      </c>
      <c r="C5" s="105" t="str">
        <f>C7&amp;"テーブルから対象患者で絞り込んだ結果を"&amp;R7&amp;"テーブルに格納する。"</f>
        <v>バックアップ_処方データテーブルから対象患者で絞り込んだ結果をベース_処方データテーブルに格納する。</v>
      </c>
      <c r="D5" s="106"/>
      <c r="E5" s="106"/>
      <c r="F5" s="106"/>
      <c r="G5" s="106"/>
      <c r="H5" s="106"/>
      <c r="I5" s="106"/>
      <c r="J5" s="106"/>
      <c r="K5" s="106"/>
      <c r="L5" s="106"/>
      <c r="M5" s="106"/>
      <c r="N5" s="106"/>
      <c r="O5" s="106"/>
      <c r="P5" s="106"/>
      <c r="Q5" s="106"/>
      <c r="R5" s="106"/>
      <c r="S5" s="106"/>
      <c r="T5" s="106"/>
      <c r="U5" s="107"/>
      <c r="W5" s="35" t="str">
        <f>"-- "&amp;C5</f>
        <v>-- バックアップ_処方データテーブルから対象患者で絞り込んだ結果をベース_処方データテーブルに格納する。</v>
      </c>
    </row>
    <row r="7" spans="2:23" ht="18.75" customHeight="1">
      <c r="C7" s="96" t="s">
        <v>3794</v>
      </c>
      <c r="D7" s="97"/>
      <c r="E7" s="100" t="s">
        <v>3838</v>
      </c>
      <c r="H7" s="36"/>
      <c r="I7" s="36"/>
      <c r="J7" s="36"/>
      <c r="K7" s="36"/>
      <c r="L7" s="36"/>
      <c r="M7" s="36"/>
      <c r="N7" s="36"/>
      <c r="O7" s="36"/>
      <c r="P7" s="36"/>
      <c r="Q7" s="36"/>
      <c r="R7" s="96" t="str">
        <f>"ベース"&amp;SUBSTITUTE(C7,"バックアップ","")</f>
        <v>ベース_処方データ</v>
      </c>
      <c r="S7" s="97"/>
      <c r="T7" s="100" t="s">
        <v>3838</v>
      </c>
    </row>
    <row r="8" spans="2:23" ht="18.75" customHeight="1">
      <c r="C8" s="98"/>
      <c r="D8" s="99"/>
      <c r="E8" s="101"/>
      <c r="F8" s="37"/>
      <c r="G8" s="38"/>
      <c r="H8" s="37"/>
      <c r="I8" s="37"/>
      <c r="J8" s="37"/>
      <c r="K8" s="37"/>
      <c r="L8" s="37"/>
      <c r="M8" s="37"/>
      <c r="N8" s="37"/>
      <c r="O8" s="37"/>
      <c r="P8" s="37"/>
      <c r="Q8" s="37"/>
      <c r="R8" s="98"/>
      <c r="S8" s="99"/>
      <c r="T8" s="101"/>
    </row>
    <row r="9" spans="2:23" ht="18.75" customHeight="1">
      <c r="F9" s="39"/>
      <c r="G9" s="40"/>
    </row>
    <row r="10" spans="2:23" ht="18.75" customHeight="1">
      <c r="C10" s="96" t="s">
        <v>3793</v>
      </c>
      <c r="D10" s="97"/>
      <c r="E10" s="100" t="s">
        <v>3838</v>
      </c>
      <c r="G10" s="41"/>
    </row>
    <row r="11" spans="2:23" ht="18.75" customHeight="1">
      <c r="C11" s="98"/>
      <c r="D11" s="99"/>
      <c r="E11" s="101"/>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3797</v>
      </c>
      <c r="D15" s="94"/>
      <c r="W15" s="35" t="str">
        <f>"-- "&amp;B15&amp;" : "&amp;C15</f>
        <v>-- SQL_ID : 31_A1-03</v>
      </c>
    </row>
    <row r="16" spans="2:23" ht="18.75" customHeight="1">
      <c r="B16" s="43" t="s">
        <v>158</v>
      </c>
      <c r="C16" s="102" t="str">
        <f>R19&amp;"登録"</f>
        <v>ベース_診療行為データ登録</v>
      </c>
      <c r="D16" s="103"/>
      <c r="E16" s="103"/>
      <c r="F16" s="103"/>
      <c r="G16" s="103"/>
      <c r="H16" s="103"/>
      <c r="I16" s="103"/>
      <c r="J16" s="103"/>
      <c r="K16" s="103"/>
      <c r="L16" s="103"/>
      <c r="M16" s="103"/>
      <c r="N16" s="103"/>
      <c r="O16" s="103"/>
      <c r="P16" s="103"/>
      <c r="Q16" s="103"/>
      <c r="R16" s="103"/>
      <c r="S16" s="103"/>
      <c r="T16" s="103"/>
      <c r="U16" s="104"/>
      <c r="W16" s="35" t="str">
        <f>"-- "&amp;C16</f>
        <v>-- ベース_診療行為データ登録</v>
      </c>
    </row>
    <row r="17" spans="2:23" ht="18.75" customHeight="1">
      <c r="B17" s="43" t="s">
        <v>159</v>
      </c>
      <c r="C17" s="105" t="str">
        <f>C19&amp;"テーブルから対象患者で絞り込んだ結果を"&amp;R19&amp;"テーブルに格納する。"</f>
        <v>バックアップ_診療行為データテーブルから対象患者で絞り込んだ結果をベース_診療行為データテーブルに格納する。</v>
      </c>
      <c r="D17" s="106"/>
      <c r="E17" s="106"/>
      <c r="F17" s="106"/>
      <c r="G17" s="106"/>
      <c r="H17" s="106"/>
      <c r="I17" s="106"/>
      <c r="J17" s="106"/>
      <c r="K17" s="106"/>
      <c r="L17" s="106"/>
      <c r="M17" s="106"/>
      <c r="N17" s="106"/>
      <c r="O17" s="106"/>
      <c r="P17" s="106"/>
      <c r="Q17" s="106"/>
      <c r="R17" s="106"/>
      <c r="S17" s="106"/>
      <c r="T17" s="106"/>
      <c r="U17" s="107"/>
      <c r="W17" s="35" t="str">
        <f>"-- "&amp;C17</f>
        <v>-- バックアップ_診療行為データテーブルから対象患者で絞り込んだ結果をベース_診療行為データテーブルに格納する。</v>
      </c>
    </row>
    <row r="19" spans="2:23" ht="18.75" customHeight="1">
      <c r="C19" s="96" t="s">
        <v>3796</v>
      </c>
      <c r="D19" s="97"/>
      <c r="E19" s="100" t="s">
        <v>3838</v>
      </c>
      <c r="H19" s="36"/>
      <c r="I19" s="36"/>
      <c r="J19" s="36"/>
      <c r="K19" s="36"/>
      <c r="L19" s="36"/>
      <c r="M19" s="36"/>
      <c r="N19" s="36"/>
      <c r="O19" s="36"/>
      <c r="P19" s="36"/>
      <c r="Q19" s="36"/>
      <c r="R19" s="96" t="str">
        <f>"ベース"&amp;SUBSTITUTE(C19,"バックアップ","")</f>
        <v>ベース_診療行為データ</v>
      </c>
      <c r="S19" s="97"/>
      <c r="T19" s="100" t="s">
        <v>3838</v>
      </c>
    </row>
    <row r="20" spans="2:23" ht="18.75" customHeight="1">
      <c r="C20" s="98"/>
      <c r="D20" s="99"/>
      <c r="E20" s="101"/>
      <c r="F20" s="37"/>
      <c r="G20" s="38"/>
      <c r="H20" s="37"/>
      <c r="I20" s="37"/>
      <c r="J20" s="37"/>
      <c r="K20" s="37"/>
      <c r="L20" s="37"/>
      <c r="M20" s="37"/>
      <c r="N20" s="37"/>
      <c r="O20" s="37"/>
      <c r="P20" s="37"/>
      <c r="Q20" s="37"/>
      <c r="R20" s="98"/>
      <c r="S20" s="99"/>
      <c r="T20" s="101"/>
    </row>
    <row r="21" spans="2:23" ht="18.75" customHeight="1">
      <c r="F21" s="39"/>
      <c r="G21" s="40"/>
    </row>
    <row r="22" spans="2:23" ht="18.75" customHeight="1">
      <c r="C22" s="96" t="s">
        <v>3793</v>
      </c>
      <c r="D22" s="97"/>
      <c r="E22" s="100" t="s">
        <v>3838</v>
      </c>
      <c r="G22" s="41"/>
    </row>
    <row r="23" spans="2:23" ht="18.75" customHeight="1">
      <c r="C23" s="98"/>
      <c r="D23" s="99"/>
      <c r="E23" s="101"/>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3798</v>
      </c>
      <c r="D27" s="94"/>
      <c r="W27" s="35" t="str">
        <f>"-- "&amp;B27&amp;" : "&amp;C27</f>
        <v>-- SQL_ID : 31_A1-06</v>
      </c>
    </row>
    <row r="28" spans="2:23" ht="18.75" customHeight="1">
      <c r="B28" s="43" t="s">
        <v>158</v>
      </c>
      <c r="C28" s="102" t="str">
        <f>R31&amp;"登録"</f>
        <v>ベース_入院退院データ登録</v>
      </c>
      <c r="D28" s="103"/>
      <c r="E28" s="103"/>
      <c r="F28" s="103"/>
      <c r="G28" s="103"/>
      <c r="H28" s="103"/>
      <c r="I28" s="103"/>
      <c r="J28" s="103"/>
      <c r="K28" s="103"/>
      <c r="L28" s="103"/>
      <c r="M28" s="103"/>
      <c r="N28" s="103"/>
      <c r="O28" s="103"/>
      <c r="P28" s="103"/>
      <c r="Q28" s="103"/>
      <c r="R28" s="103"/>
      <c r="S28" s="103"/>
      <c r="T28" s="103"/>
      <c r="U28" s="104"/>
      <c r="W28" s="35" t="str">
        <f>"-- "&amp;C28</f>
        <v>-- ベース_入院退院データ登録</v>
      </c>
    </row>
    <row r="29" spans="2:23" ht="18.75" customHeight="1">
      <c r="B29" s="43" t="s">
        <v>159</v>
      </c>
      <c r="C29" s="105" t="str">
        <f>C31&amp;"テーブルから対象患者で絞り込んだ結果を"&amp;R31&amp;"テーブルに格納する。"</f>
        <v>バックアップ_入院退院データテーブルから対象患者で絞り込んだ結果をベース_入院退院データテーブルに格納する。</v>
      </c>
      <c r="D29" s="106"/>
      <c r="E29" s="106"/>
      <c r="F29" s="106"/>
      <c r="G29" s="106"/>
      <c r="H29" s="106"/>
      <c r="I29" s="106"/>
      <c r="J29" s="106"/>
      <c r="K29" s="106"/>
      <c r="L29" s="106"/>
      <c r="M29" s="106"/>
      <c r="N29" s="106"/>
      <c r="O29" s="106"/>
      <c r="P29" s="106"/>
      <c r="Q29" s="106"/>
      <c r="R29" s="106"/>
      <c r="S29" s="106"/>
      <c r="T29" s="106"/>
      <c r="U29" s="107"/>
      <c r="W29" s="35" t="str">
        <f>"-- "&amp;C29</f>
        <v>-- バックアップ_入院退院データテーブルから対象患者で絞り込んだ結果をベース_入院退院データテーブルに格納する。</v>
      </c>
    </row>
    <row r="31" spans="2:23" ht="18.75" customHeight="1">
      <c r="C31" s="96" t="s">
        <v>3799</v>
      </c>
      <c r="D31" s="97"/>
      <c r="E31" s="100" t="s">
        <v>3838</v>
      </c>
      <c r="H31" s="36"/>
      <c r="I31" s="36"/>
      <c r="J31" s="36"/>
      <c r="K31" s="36"/>
      <c r="L31" s="36"/>
      <c r="M31" s="36"/>
      <c r="N31" s="36"/>
      <c r="O31" s="36"/>
      <c r="P31" s="36"/>
      <c r="Q31" s="36"/>
      <c r="R31" s="96" t="str">
        <f>"ベース"&amp;SUBSTITUTE(C31,"バックアップ","")</f>
        <v>ベース_入院退院データ</v>
      </c>
      <c r="S31" s="97"/>
      <c r="T31" s="100" t="s">
        <v>3838</v>
      </c>
    </row>
    <row r="32" spans="2:23" ht="18.75" customHeight="1">
      <c r="C32" s="98"/>
      <c r="D32" s="99"/>
      <c r="E32" s="101"/>
      <c r="F32" s="37"/>
      <c r="G32" s="38"/>
      <c r="H32" s="37"/>
      <c r="I32" s="37"/>
      <c r="J32" s="37"/>
      <c r="K32" s="37"/>
      <c r="L32" s="37"/>
      <c r="M32" s="37"/>
      <c r="N32" s="37"/>
      <c r="O32" s="37"/>
      <c r="P32" s="37"/>
      <c r="Q32" s="37"/>
      <c r="R32" s="98"/>
      <c r="S32" s="99"/>
      <c r="T32" s="101"/>
    </row>
    <row r="33" spans="2:23" ht="18.75" customHeight="1">
      <c r="F33" s="39"/>
      <c r="G33" s="40"/>
    </row>
    <row r="34" spans="2:23" ht="18.75" customHeight="1">
      <c r="C34" s="96" t="s">
        <v>3793</v>
      </c>
      <c r="D34" s="97"/>
      <c r="E34" s="100" t="s">
        <v>3838</v>
      </c>
      <c r="G34" s="41"/>
    </row>
    <row r="35" spans="2:23" ht="18.75" customHeight="1">
      <c r="C35" s="98"/>
      <c r="D35" s="99"/>
      <c r="E35" s="101"/>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3800</v>
      </c>
      <c r="D39" s="94"/>
      <c r="W39" s="35" t="str">
        <f>"-- "&amp;B39&amp;" : "&amp;C39</f>
        <v>-- SQL_ID : 31_A1-14</v>
      </c>
    </row>
    <row r="40" spans="2:23" ht="18.75" customHeight="1">
      <c r="B40" s="43" t="s">
        <v>158</v>
      </c>
      <c r="C40" s="102" t="str">
        <f>R43&amp;"登録"</f>
        <v>ベース_患者基本データ登録</v>
      </c>
      <c r="D40" s="103"/>
      <c r="E40" s="103"/>
      <c r="F40" s="103"/>
      <c r="G40" s="103"/>
      <c r="H40" s="103"/>
      <c r="I40" s="103"/>
      <c r="J40" s="103"/>
      <c r="K40" s="103"/>
      <c r="L40" s="103"/>
      <c r="M40" s="103"/>
      <c r="N40" s="103"/>
      <c r="O40" s="103"/>
      <c r="P40" s="103"/>
      <c r="Q40" s="103"/>
      <c r="R40" s="103"/>
      <c r="S40" s="103"/>
      <c r="T40" s="103"/>
      <c r="U40" s="104"/>
      <c r="W40" s="35" t="str">
        <f>"-- "&amp;C40</f>
        <v>-- ベース_患者基本データ登録</v>
      </c>
    </row>
    <row r="41" spans="2:23" ht="18.75" customHeight="1">
      <c r="B41" s="43" t="s">
        <v>159</v>
      </c>
      <c r="C41" s="105" t="str">
        <f>C43&amp;"テーブルから対象患者で絞り込んだ結果を"&amp;R43&amp;"テーブルに格納する。"</f>
        <v>バックアップ_患者基本データテーブルから対象患者で絞り込んだ結果をベース_患者基本データテーブルに格納する。</v>
      </c>
      <c r="D41" s="106"/>
      <c r="E41" s="106"/>
      <c r="F41" s="106"/>
      <c r="G41" s="106"/>
      <c r="H41" s="106"/>
      <c r="I41" s="106"/>
      <c r="J41" s="106"/>
      <c r="K41" s="106"/>
      <c r="L41" s="106"/>
      <c r="M41" s="106"/>
      <c r="N41" s="106"/>
      <c r="O41" s="106"/>
      <c r="P41" s="106"/>
      <c r="Q41" s="106"/>
      <c r="R41" s="106"/>
      <c r="S41" s="106"/>
      <c r="T41" s="106"/>
      <c r="U41" s="107"/>
      <c r="W41" s="35" t="str">
        <f>"-- "&amp;C41</f>
        <v>-- バックアップ_患者基本データテーブルから対象患者で絞り込んだ結果をベース_患者基本データテーブルに格納する。</v>
      </c>
    </row>
    <row r="43" spans="2:23" ht="18.75" customHeight="1">
      <c r="C43" s="96" t="s">
        <v>3801</v>
      </c>
      <c r="D43" s="97"/>
      <c r="E43" s="100" t="s">
        <v>3838</v>
      </c>
      <c r="H43" s="36"/>
      <c r="I43" s="36"/>
      <c r="J43" s="36"/>
      <c r="K43" s="36"/>
      <c r="L43" s="36"/>
      <c r="M43" s="36"/>
      <c r="N43" s="36"/>
      <c r="O43" s="36"/>
      <c r="P43" s="36"/>
      <c r="Q43" s="36"/>
      <c r="R43" s="96" t="str">
        <f>"ベース"&amp;SUBSTITUTE(C43,"バックアップ","")</f>
        <v>ベース_患者基本データ</v>
      </c>
      <c r="S43" s="97"/>
      <c r="T43" s="100" t="s">
        <v>3838</v>
      </c>
    </row>
    <row r="44" spans="2:23" ht="18.75" customHeight="1">
      <c r="C44" s="98"/>
      <c r="D44" s="99"/>
      <c r="E44" s="101"/>
      <c r="F44" s="37"/>
      <c r="G44" s="38"/>
      <c r="H44" s="37"/>
      <c r="I44" s="37"/>
      <c r="J44" s="37"/>
      <c r="K44" s="37"/>
      <c r="L44" s="37"/>
      <c r="M44" s="37"/>
      <c r="N44" s="37"/>
      <c r="O44" s="37"/>
      <c r="P44" s="37"/>
      <c r="Q44" s="37"/>
      <c r="R44" s="98"/>
      <c r="S44" s="99"/>
      <c r="T44" s="101"/>
    </row>
    <row r="45" spans="2:23" ht="18.75" customHeight="1">
      <c r="F45" s="39"/>
      <c r="G45" s="40"/>
    </row>
    <row r="46" spans="2:23" ht="18.75" customHeight="1">
      <c r="C46" s="96" t="s">
        <v>3793</v>
      </c>
      <c r="D46" s="97"/>
      <c r="E46" s="100" t="s">
        <v>3838</v>
      </c>
      <c r="G46" s="41"/>
    </row>
    <row r="47" spans="2:23" ht="18.75" customHeight="1">
      <c r="C47" s="98"/>
      <c r="D47" s="99"/>
      <c r="E47" s="101"/>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3803</v>
      </c>
      <c r="D51" s="94"/>
      <c r="W51" s="35" t="str">
        <f>"-- "&amp;B51&amp;" : "&amp;C51</f>
        <v>-- SQL_ID : 31_A6-02</v>
      </c>
    </row>
    <row r="52" spans="2:23" ht="18.75" customHeight="1">
      <c r="B52" s="43" t="s">
        <v>158</v>
      </c>
      <c r="C52" s="102" t="str">
        <f>R55&amp;"登録"</f>
        <v>ベース_MML共通登録</v>
      </c>
      <c r="D52" s="103"/>
      <c r="E52" s="103"/>
      <c r="F52" s="103"/>
      <c r="G52" s="103"/>
      <c r="H52" s="103"/>
      <c r="I52" s="103"/>
      <c r="J52" s="103"/>
      <c r="K52" s="103"/>
      <c r="L52" s="103"/>
      <c r="M52" s="103"/>
      <c r="N52" s="103"/>
      <c r="O52" s="103"/>
      <c r="P52" s="103"/>
      <c r="Q52" s="103"/>
      <c r="R52" s="103"/>
      <c r="S52" s="103"/>
      <c r="T52" s="103"/>
      <c r="U52" s="104"/>
      <c r="W52" s="35" t="str">
        <f>"-- "&amp;C52</f>
        <v>-- ベース_MML共通登録</v>
      </c>
    </row>
    <row r="53" spans="2:23" ht="18.75" customHeight="1">
      <c r="B53" s="43" t="s">
        <v>159</v>
      </c>
      <c r="C53" s="105" t="str">
        <f>C55&amp;"テーブルから対象患者で絞り込んだ結果を"&amp;R55&amp;"テーブルに格納する。"</f>
        <v>バックアップ_MML共通テーブルから対象患者で絞り込んだ結果をベース_MML共通テーブルに格納する。</v>
      </c>
      <c r="D53" s="106"/>
      <c r="E53" s="106"/>
      <c r="F53" s="106"/>
      <c r="G53" s="106"/>
      <c r="H53" s="106"/>
      <c r="I53" s="106"/>
      <c r="J53" s="106"/>
      <c r="K53" s="106"/>
      <c r="L53" s="106"/>
      <c r="M53" s="106"/>
      <c r="N53" s="106"/>
      <c r="O53" s="106"/>
      <c r="P53" s="106"/>
      <c r="Q53" s="106"/>
      <c r="R53" s="106"/>
      <c r="S53" s="106"/>
      <c r="T53" s="106"/>
      <c r="U53" s="107"/>
      <c r="W53" s="35" t="str">
        <f>"-- "&amp;C53</f>
        <v>-- バックアップ_MML共通テーブルから対象患者で絞り込んだ結果をベース_MML共通テーブルに格納する。</v>
      </c>
    </row>
    <row r="55" spans="2:23" ht="18.75" customHeight="1">
      <c r="C55" s="96" t="s">
        <v>3802</v>
      </c>
      <c r="D55" s="97"/>
      <c r="E55" s="100" t="s">
        <v>3838</v>
      </c>
      <c r="H55" s="36"/>
      <c r="I55" s="36"/>
      <c r="J55" s="36"/>
      <c r="K55" s="36"/>
      <c r="L55" s="36"/>
      <c r="M55" s="36"/>
      <c r="N55" s="36"/>
      <c r="O55" s="36"/>
      <c r="P55" s="36"/>
      <c r="Q55" s="36"/>
      <c r="R55" s="96" t="str">
        <f>"ベース"&amp;SUBSTITUTE(C55,"バックアップ","")</f>
        <v>ベース_MML共通</v>
      </c>
      <c r="S55" s="97"/>
      <c r="T55" s="100" t="s">
        <v>3838</v>
      </c>
    </row>
    <row r="56" spans="2:23" ht="18.75" customHeight="1">
      <c r="C56" s="98"/>
      <c r="D56" s="99"/>
      <c r="E56" s="101"/>
      <c r="F56" s="37"/>
      <c r="G56" s="38"/>
      <c r="H56" s="37"/>
      <c r="I56" s="37"/>
      <c r="J56" s="37"/>
      <c r="K56" s="37"/>
      <c r="L56" s="37"/>
      <c r="M56" s="37"/>
      <c r="N56" s="37"/>
      <c r="O56" s="37"/>
      <c r="P56" s="37"/>
      <c r="Q56" s="37"/>
      <c r="R56" s="98"/>
      <c r="S56" s="99"/>
      <c r="T56" s="101"/>
    </row>
    <row r="57" spans="2:23" ht="18.75" customHeight="1">
      <c r="F57" s="39"/>
      <c r="G57" s="40"/>
    </row>
    <row r="58" spans="2:23" ht="18.75" customHeight="1">
      <c r="C58" s="96" t="s">
        <v>3793</v>
      </c>
      <c r="D58" s="97"/>
      <c r="E58" s="100" t="s">
        <v>3838</v>
      </c>
      <c r="G58" s="41"/>
    </row>
    <row r="59" spans="2:23" ht="18.75" customHeight="1">
      <c r="C59" s="98"/>
      <c r="D59" s="99"/>
      <c r="E59" s="101"/>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3805</v>
      </c>
      <c r="D63" s="94"/>
      <c r="W63" s="35" t="str">
        <f>"-- "&amp;B63&amp;" : "&amp;C63</f>
        <v>-- SQL_ID : 31_A6-03</v>
      </c>
    </row>
    <row r="64" spans="2:23" ht="18.75" customHeight="1">
      <c r="B64" s="43" t="s">
        <v>158</v>
      </c>
      <c r="C64" s="102" t="str">
        <f>R67&amp;"登録"</f>
        <v>ベース_MML_診断履歴情報モジュール_本文登録</v>
      </c>
      <c r="D64" s="103"/>
      <c r="E64" s="103"/>
      <c r="F64" s="103"/>
      <c r="G64" s="103"/>
      <c r="H64" s="103"/>
      <c r="I64" s="103"/>
      <c r="J64" s="103"/>
      <c r="K64" s="103"/>
      <c r="L64" s="103"/>
      <c r="M64" s="103"/>
      <c r="N64" s="103"/>
      <c r="O64" s="103"/>
      <c r="P64" s="103"/>
      <c r="Q64" s="103"/>
      <c r="R64" s="103"/>
      <c r="S64" s="103"/>
      <c r="T64" s="103"/>
      <c r="U64" s="104"/>
      <c r="W64" s="35" t="str">
        <f>"-- "&amp;C64</f>
        <v>-- ベース_MML_診断履歴情報モジュール_本文登録</v>
      </c>
    </row>
    <row r="65" spans="2:23" ht="18.75" customHeight="1">
      <c r="B65" s="43" t="s">
        <v>159</v>
      </c>
      <c r="C65" s="105" t="str">
        <f>C67&amp;"テーブルから対象患者で絞り込んだ結果を"&amp;R67&amp;"テーブルに格納する。"</f>
        <v>バックアップ_MML_診断履歴情報モジュール_本文テーブルから対象患者で絞り込んだ結果をベース_MML_診断履歴情報モジュール_本文テーブルに格納する。</v>
      </c>
      <c r="D65" s="106"/>
      <c r="E65" s="106"/>
      <c r="F65" s="106"/>
      <c r="G65" s="106"/>
      <c r="H65" s="106"/>
      <c r="I65" s="106"/>
      <c r="J65" s="106"/>
      <c r="K65" s="106"/>
      <c r="L65" s="106"/>
      <c r="M65" s="106"/>
      <c r="N65" s="106"/>
      <c r="O65" s="106"/>
      <c r="P65" s="106"/>
      <c r="Q65" s="106"/>
      <c r="R65" s="106"/>
      <c r="S65" s="106"/>
      <c r="T65" s="106"/>
      <c r="U65" s="107"/>
      <c r="W65" s="35" t="str">
        <f>"-- "&amp;C65</f>
        <v>-- バックアップ_MML_診断履歴情報モジュール_本文テーブルから対象患者で絞り込んだ結果をベース_MML_診断履歴情報モジュール_本文テーブルに格納する。</v>
      </c>
    </row>
    <row r="67" spans="2:23" ht="18.75" customHeight="1">
      <c r="C67" s="96" t="s">
        <v>3804</v>
      </c>
      <c r="D67" s="97"/>
      <c r="E67" s="100" t="s">
        <v>3838</v>
      </c>
      <c r="H67" s="36"/>
      <c r="I67" s="36"/>
      <c r="J67" s="36"/>
      <c r="K67" s="36"/>
      <c r="L67" s="36"/>
      <c r="M67" s="36"/>
      <c r="N67" s="36"/>
      <c r="O67" s="36"/>
      <c r="P67" s="36"/>
      <c r="Q67" s="36"/>
      <c r="R67" s="96" t="str">
        <f>"ベース"&amp;SUBSTITUTE(C67,"バックアップ","")</f>
        <v>ベース_MML_診断履歴情報モジュール_本文</v>
      </c>
      <c r="S67" s="97"/>
      <c r="T67" s="100" t="s">
        <v>3838</v>
      </c>
    </row>
    <row r="68" spans="2:23" ht="18.75" customHeight="1">
      <c r="C68" s="98"/>
      <c r="D68" s="99"/>
      <c r="E68" s="101"/>
      <c r="F68" s="37"/>
      <c r="G68" s="38"/>
      <c r="H68" s="37"/>
      <c r="I68" s="37"/>
      <c r="J68" s="37"/>
      <c r="K68" s="37"/>
      <c r="L68" s="37"/>
      <c r="M68" s="37"/>
      <c r="N68" s="37"/>
      <c r="O68" s="37"/>
      <c r="P68" s="37"/>
      <c r="Q68" s="37"/>
      <c r="R68" s="98"/>
      <c r="S68" s="99"/>
      <c r="T68" s="101"/>
    </row>
    <row r="69" spans="2:23" ht="18.75" customHeight="1">
      <c r="F69" s="39"/>
      <c r="G69" s="40"/>
    </row>
    <row r="70" spans="2:23" ht="18.75" customHeight="1">
      <c r="C70" s="96" t="s">
        <v>3793</v>
      </c>
      <c r="D70" s="97"/>
      <c r="E70" s="100" t="s">
        <v>3838</v>
      </c>
      <c r="G70" s="41"/>
    </row>
    <row r="71" spans="2:23" ht="18.75" customHeight="1">
      <c r="C71" s="98"/>
      <c r="D71" s="99"/>
      <c r="E71" s="101"/>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3806</v>
      </c>
      <c r="D75" s="94"/>
      <c r="W75" s="35" t="str">
        <f>"-- "&amp;B75&amp;" : "&amp;C75</f>
        <v>-- SQL_ID : 31_A6-04</v>
      </c>
    </row>
    <row r="76" spans="2:23" ht="18.75" customHeight="1">
      <c r="B76" s="43" t="s">
        <v>158</v>
      </c>
      <c r="C76" s="102" t="str">
        <f>R79&amp;"登録"</f>
        <v>ベース_MML_診断履歴情報モジュール_病名登録</v>
      </c>
      <c r="D76" s="103"/>
      <c r="E76" s="103"/>
      <c r="F76" s="103"/>
      <c r="G76" s="103"/>
      <c r="H76" s="103"/>
      <c r="I76" s="103"/>
      <c r="J76" s="103"/>
      <c r="K76" s="103"/>
      <c r="L76" s="103"/>
      <c r="M76" s="103"/>
      <c r="N76" s="103"/>
      <c r="O76" s="103"/>
      <c r="P76" s="103"/>
      <c r="Q76" s="103"/>
      <c r="R76" s="103"/>
      <c r="S76" s="103"/>
      <c r="T76" s="103"/>
      <c r="U76" s="104"/>
      <c r="W76" s="35" t="str">
        <f>"-- "&amp;C76</f>
        <v>-- ベース_MML_診断履歴情報モジュール_病名登録</v>
      </c>
    </row>
    <row r="77" spans="2:23" ht="18.75" customHeight="1">
      <c r="B77" s="43" t="s">
        <v>159</v>
      </c>
      <c r="C77" s="105" t="str">
        <f>C79&amp;"テーブルから対象患者で絞り込んだ結果を"&amp;R79&amp;"テーブルに格納する。"</f>
        <v>バックアップ_MML_診断履歴情報モジュール_病名テーブルから対象患者で絞り込んだ結果をベース_MML_診断履歴情報モジュール_病名テーブルに格納する。</v>
      </c>
      <c r="D77" s="106"/>
      <c r="E77" s="106"/>
      <c r="F77" s="106"/>
      <c r="G77" s="106"/>
      <c r="H77" s="106"/>
      <c r="I77" s="106"/>
      <c r="J77" s="106"/>
      <c r="K77" s="106"/>
      <c r="L77" s="106"/>
      <c r="M77" s="106"/>
      <c r="N77" s="106"/>
      <c r="O77" s="106"/>
      <c r="P77" s="106"/>
      <c r="Q77" s="106"/>
      <c r="R77" s="106"/>
      <c r="S77" s="106"/>
      <c r="T77" s="106"/>
      <c r="U77" s="107"/>
      <c r="W77" s="35" t="str">
        <f>"-- "&amp;C77</f>
        <v>-- バックアップ_MML_診断履歴情報モジュール_病名テーブルから対象患者で絞り込んだ結果をベース_MML_診断履歴情報モジュール_病名テーブルに格納する。</v>
      </c>
    </row>
    <row r="79" spans="2:23" ht="18.75" customHeight="1">
      <c r="C79" s="96" t="s">
        <v>3807</v>
      </c>
      <c r="D79" s="97"/>
      <c r="E79" s="100" t="s">
        <v>3838</v>
      </c>
      <c r="H79" s="36"/>
      <c r="I79" s="36"/>
      <c r="J79" s="36"/>
      <c r="K79" s="36"/>
      <c r="L79" s="36"/>
      <c r="M79" s="36"/>
      <c r="N79" s="36"/>
      <c r="O79" s="36"/>
      <c r="P79" s="36"/>
      <c r="Q79" s="36"/>
      <c r="R79" s="96" t="str">
        <f>"ベース"&amp;SUBSTITUTE(C79,"バックアップ","")</f>
        <v>ベース_MML_診断履歴情報モジュール_病名</v>
      </c>
      <c r="S79" s="97"/>
      <c r="T79" s="100" t="s">
        <v>3838</v>
      </c>
    </row>
    <row r="80" spans="2:23" ht="18.75" customHeight="1">
      <c r="C80" s="98"/>
      <c r="D80" s="99"/>
      <c r="E80" s="101"/>
      <c r="F80" s="37"/>
      <c r="G80" s="38"/>
      <c r="H80" s="37"/>
      <c r="I80" s="37"/>
      <c r="J80" s="37"/>
      <c r="K80" s="37"/>
      <c r="L80" s="37"/>
      <c r="M80" s="37"/>
      <c r="N80" s="37"/>
      <c r="O80" s="37"/>
      <c r="P80" s="37"/>
      <c r="Q80" s="37"/>
      <c r="R80" s="98"/>
      <c r="S80" s="99"/>
      <c r="T80" s="101"/>
    </row>
    <row r="81" spans="2:23" ht="18.75" customHeight="1">
      <c r="F81" s="39"/>
      <c r="G81" s="40"/>
    </row>
    <row r="82" spans="2:23" ht="18.75" customHeight="1">
      <c r="C82" s="96" t="s">
        <v>3793</v>
      </c>
      <c r="D82" s="97"/>
      <c r="E82" s="100" t="s">
        <v>3838</v>
      </c>
      <c r="G82" s="41"/>
    </row>
    <row r="83" spans="2:23" ht="18.75" customHeight="1">
      <c r="C83" s="98"/>
      <c r="D83" s="99"/>
      <c r="E83" s="101"/>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3808</v>
      </c>
      <c r="D87" s="94"/>
      <c r="W87" s="35" t="str">
        <f>"-- "&amp;B87&amp;" : "&amp;C87</f>
        <v>-- SQL_ID : 31_A6-24</v>
      </c>
    </row>
    <row r="88" spans="2:23" ht="18.75" customHeight="1">
      <c r="B88" s="43" t="s">
        <v>158</v>
      </c>
      <c r="C88" s="102" t="str">
        <f>R91&amp;"登録"</f>
        <v>ベース_MML_処方箋モジュール_本文登録</v>
      </c>
      <c r="D88" s="103"/>
      <c r="E88" s="103"/>
      <c r="F88" s="103"/>
      <c r="G88" s="103"/>
      <c r="H88" s="103"/>
      <c r="I88" s="103"/>
      <c r="J88" s="103"/>
      <c r="K88" s="103"/>
      <c r="L88" s="103"/>
      <c r="M88" s="103"/>
      <c r="N88" s="103"/>
      <c r="O88" s="103"/>
      <c r="P88" s="103"/>
      <c r="Q88" s="103"/>
      <c r="R88" s="103"/>
      <c r="S88" s="103"/>
      <c r="T88" s="103"/>
      <c r="U88" s="104"/>
      <c r="W88" s="35" t="str">
        <f>"-- "&amp;C88</f>
        <v>-- ベース_MML_処方箋モジュール_本文登録</v>
      </c>
    </row>
    <row r="89" spans="2:23" ht="18.75" customHeight="1">
      <c r="B89" s="43" t="s">
        <v>159</v>
      </c>
      <c r="C89" s="105" t="str">
        <f>C91&amp;"テーブルから対象患者で絞り込んだ結果を"&amp;R91&amp;"テーブルに格納する。"</f>
        <v>バックアップ_MML_処方箋モジュール_本文テーブルから対象患者で絞り込んだ結果をベース_MML_処方箋モジュール_本文テーブルに格納する。</v>
      </c>
      <c r="D89" s="106"/>
      <c r="E89" s="106"/>
      <c r="F89" s="106"/>
      <c r="G89" s="106"/>
      <c r="H89" s="106"/>
      <c r="I89" s="106"/>
      <c r="J89" s="106"/>
      <c r="K89" s="106"/>
      <c r="L89" s="106"/>
      <c r="M89" s="106"/>
      <c r="N89" s="106"/>
      <c r="O89" s="106"/>
      <c r="P89" s="106"/>
      <c r="Q89" s="106"/>
      <c r="R89" s="106"/>
      <c r="S89" s="106"/>
      <c r="T89" s="106"/>
      <c r="U89" s="107"/>
      <c r="W89" s="35" t="str">
        <f>"-- "&amp;C89</f>
        <v>-- バックアップ_MML_処方箋モジュール_本文テーブルから対象患者で絞り込んだ結果をベース_MML_処方箋モジュール_本文テーブルに格納する。</v>
      </c>
    </row>
    <row r="91" spans="2:23" ht="18.75" customHeight="1">
      <c r="C91" s="96" t="s">
        <v>3809</v>
      </c>
      <c r="D91" s="97"/>
      <c r="E91" s="100" t="s">
        <v>3838</v>
      </c>
      <c r="H91" s="36"/>
      <c r="I91" s="36"/>
      <c r="J91" s="36"/>
      <c r="K91" s="36"/>
      <c r="L91" s="36"/>
      <c r="M91" s="36"/>
      <c r="N91" s="36"/>
      <c r="O91" s="36"/>
      <c r="P91" s="36"/>
      <c r="Q91" s="36"/>
      <c r="R91" s="96" t="str">
        <f>"ベース"&amp;SUBSTITUTE(C91,"バックアップ","")</f>
        <v>ベース_MML_処方箋モジュール_本文</v>
      </c>
      <c r="S91" s="97"/>
      <c r="T91" s="100" t="s">
        <v>3838</v>
      </c>
    </row>
    <row r="92" spans="2:23" ht="18.75" customHeight="1">
      <c r="C92" s="98"/>
      <c r="D92" s="99"/>
      <c r="E92" s="101"/>
      <c r="F92" s="37"/>
      <c r="G92" s="38"/>
      <c r="H92" s="37"/>
      <c r="I92" s="37"/>
      <c r="J92" s="37"/>
      <c r="K92" s="37"/>
      <c r="L92" s="37"/>
      <c r="M92" s="37"/>
      <c r="N92" s="37"/>
      <c r="O92" s="37"/>
      <c r="P92" s="37"/>
      <c r="Q92" s="37"/>
      <c r="R92" s="98"/>
      <c r="S92" s="99"/>
      <c r="T92" s="101"/>
    </row>
    <row r="93" spans="2:23" ht="18.75" customHeight="1">
      <c r="F93" s="39"/>
      <c r="G93" s="40"/>
    </row>
    <row r="94" spans="2:23" ht="18.75" customHeight="1">
      <c r="C94" s="96" t="s">
        <v>3793</v>
      </c>
      <c r="D94" s="97"/>
      <c r="E94" s="100" t="s">
        <v>3838</v>
      </c>
      <c r="G94" s="41"/>
    </row>
    <row r="95" spans="2:23" ht="18.75" customHeight="1">
      <c r="C95" s="98"/>
      <c r="D95" s="99"/>
      <c r="E95" s="101"/>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3810</v>
      </c>
      <c r="D99" s="94"/>
      <c r="W99" s="35" t="str">
        <f>"-- "&amp;B99&amp;" : "&amp;C99</f>
        <v>-- SQL_ID : 31_A6-25</v>
      </c>
    </row>
    <row r="100" spans="2:23" ht="18.75" customHeight="1">
      <c r="B100" s="43" t="s">
        <v>158</v>
      </c>
      <c r="C100" s="102" t="str">
        <f>R103&amp;"登録"</f>
        <v>ベース_MML_処方箋モジュール_投薬登録</v>
      </c>
      <c r="D100" s="103"/>
      <c r="E100" s="103"/>
      <c r="F100" s="103"/>
      <c r="G100" s="103"/>
      <c r="H100" s="103"/>
      <c r="I100" s="103"/>
      <c r="J100" s="103"/>
      <c r="K100" s="103"/>
      <c r="L100" s="103"/>
      <c r="M100" s="103"/>
      <c r="N100" s="103"/>
      <c r="O100" s="103"/>
      <c r="P100" s="103"/>
      <c r="Q100" s="103"/>
      <c r="R100" s="103"/>
      <c r="S100" s="103"/>
      <c r="T100" s="103"/>
      <c r="U100" s="104"/>
      <c r="W100" s="35" t="str">
        <f>"-- "&amp;C100</f>
        <v>-- ベース_MML_処方箋モジュール_投薬登録</v>
      </c>
    </row>
    <row r="101" spans="2:23" ht="18.75" customHeight="1">
      <c r="B101" s="43" t="s">
        <v>159</v>
      </c>
      <c r="C101" s="105" t="str">
        <f>C103&amp;"テーブルから対象患者で絞り込んだ結果を"&amp;R103&amp;"テーブルに格納する。"</f>
        <v>バックアップ_MML_処方箋モジュール_投薬テーブルから対象患者で絞り込んだ結果をベース_MML_処方箋モジュール_投薬テーブルに格納する。</v>
      </c>
      <c r="D101" s="106"/>
      <c r="E101" s="106"/>
      <c r="F101" s="106"/>
      <c r="G101" s="106"/>
      <c r="H101" s="106"/>
      <c r="I101" s="106"/>
      <c r="J101" s="106"/>
      <c r="K101" s="106"/>
      <c r="L101" s="106"/>
      <c r="M101" s="106"/>
      <c r="N101" s="106"/>
      <c r="O101" s="106"/>
      <c r="P101" s="106"/>
      <c r="Q101" s="106"/>
      <c r="R101" s="106"/>
      <c r="S101" s="106"/>
      <c r="T101" s="106"/>
      <c r="U101" s="107"/>
      <c r="W101" s="35" t="str">
        <f>"-- "&amp;C101</f>
        <v>-- バックアップ_MML_処方箋モジュール_投薬テーブルから対象患者で絞り込んだ結果をベース_MML_処方箋モジュール_投薬テーブルに格納する。</v>
      </c>
    </row>
    <row r="103" spans="2:23" ht="18.75" customHeight="1">
      <c r="C103" s="96" t="s">
        <v>3811</v>
      </c>
      <c r="D103" s="97"/>
      <c r="E103" s="100" t="s">
        <v>3838</v>
      </c>
      <c r="H103" s="36"/>
      <c r="I103" s="36"/>
      <c r="J103" s="36"/>
      <c r="K103" s="36"/>
      <c r="L103" s="36"/>
      <c r="M103" s="36"/>
      <c r="N103" s="36"/>
      <c r="O103" s="36"/>
      <c r="P103" s="36"/>
      <c r="Q103" s="36"/>
      <c r="R103" s="96" t="str">
        <f>"ベース"&amp;SUBSTITUTE(C103,"バックアップ","")</f>
        <v>ベース_MML_処方箋モジュール_投薬</v>
      </c>
      <c r="S103" s="97"/>
      <c r="T103" s="100" t="s">
        <v>3838</v>
      </c>
    </row>
    <row r="104" spans="2:23" ht="18.75" customHeight="1">
      <c r="C104" s="98"/>
      <c r="D104" s="99"/>
      <c r="E104" s="101"/>
      <c r="F104" s="37"/>
      <c r="G104" s="38"/>
      <c r="H104" s="37"/>
      <c r="I104" s="37"/>
      <c r="J104" s="37"/>
      <c r="K104" s="37"/>
      <c r="L104" s="37"/>
      <c r="M104" s="37"/>
      <c r="N104" s="37"/>
      <c r="O104" s="37"/>
      <c r="P104" s="37"/>
      <c r="Q104" s="37"/>
      <c r="R104" s="98"/>
      <c r="S104" s="99"/>
      <c r="T104" s="101"/>
    </row>
    <row r="105" spans="2:23" ht="18.75" customHeight="1">
      <c r="F105" s="39"/>
      <c r="G105" s="40"/>
    </row>
    <row r="106" spans="2:23" ht="18.75" customHeight="1">
      <c r="C106" s="96" t="s">
        <v>3793</v>
      </c>
      <c r="D106" s="97"/>
      <c r="E106" s="100" t="s">
        <v>3838</v>
      </c>
      <c r="G106" s="41"/>
    </row>
    <row r="107" spans="2:23" ht="18.75" customHeight="1">
      <c r="C107" s="98"/>
      <c r="D107" s="99"/>
      <c r="E107" s="101"/>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3812</v>
      </c>
      <c r="D111" s="94"/>
      <c r="W111" s="35" t="str">
        <f>"-- "&amp;B111&amp;" : "&amp;C111</f>
        <v>-- SQL_ID : 31_A6-26</v>
      </c>
    </row>
    <row r="112" spans="2:23" ht="18.75" customHeight="1">
      <c r="B112" s="43" t="s">
        <v>158</v>
      </c>
      <c r="C112" s="102" t="str">
        <f>R115&amp;"登録"</f>
        <v>ベース_MML_処方箋モジュール_薬剤登録</v>
      </c>
      <c r="D112" s="103"/>
      <c r="E112" s="103"/>
      <c r="F112" s="103"/>
      <c r="G112" s="103"/>
      <c r="H112" s="103"/>
      <c r="I112" s="103"/>
      <c r="J112" s="103"/>
      <c r="K112" s="103"/>
      <c r="L112" s="103"/>
      <c r="M112" s="103"/>
      <c r="N112" s="103"/>
      <c r="O112" s="103"/>
      <c r="P112" s="103"/>
      <c r="Q112" s="103"/>
      <c r="R112" s="103"/>
      <c r="S112" s="103"/>
      <c r="T112" s="103"/>
      <c r="U112" s="104"/>
      <c r="W112" s="35" t="str">
        <f>"-- "&amp;C112</f>
        <v>-- ベース_MML_処方箋モジュール_薬剤登録</v>
      </c>
    </row>
    <row r="113" spans="2:23" ht="18.75" customHeight="1">
      <c r="B113" s="43" t="s">
        <v>159</v>
      </c>
      <c r="C113" s="105" t="str">
        <f>C115&amp;"テーブルから対象患者で絞り込んだ結果を"&amp;R115&amp;"テーブルに格納する。"</f>
        <v>バックアップ_MML_処方箋モジュール_薬剤テーブルから対象患者で絞り込んだ結果をベース_MML_処方箋モジュール_薬剤テーブルに格納する。</v>
      </c>
      <c r="D113" s="106"/>
      <c r="E113" s="106"/>
      <c r="F113" s="106"/>
      <c r="G113" s="106"/>
      <c r="H113" s="106"/>
      <c r="I113" s="106"/>
      <c r="J113" s="106"/>
      <c r="K113" s="106"/>
      <c r="L113" s="106"/>
      <c r="M113" s="106"/>
      <c r="N113" s="106"/>
      <c r="O113" s="106"/>
      <c r="P113" s="106"/>
      <c r="Q113" s="106"/>
      <c r="R113" s="106"/>
      <c r="S113" s="106"/>
      <c r="T113" s="106"/>
      <c r="U113" s="107"/>
      <c r="W113" s="35" t="str">
        <f>"-- "&amp;C113</f>
        <v>-- バックアップ_MML_処方箋モジュール_薬剤テーブルから対象患者で絞り込んだ結果をベース_MML_処方箋モジュール_薬剤テーブルに格納する。</v>
      </c>
    </row>
    <row r="115" spans="2:23" ht="18.75" customHeight="1">
      <c r="C115" s="96" t="s">
        <v>3813</v>
      </c>
      <c r="D115" s="97"/>
      <c r="E115" s="100" t="s">
        <v>3838</v>
      </c>
      <c r="H115" s="36"/>
      <c r="I115" s="36"/>
      <c r="J115" s="36"/>
      <c r="K115" s="36"/>
      <c r="L115" s="36"/>
      <c r="M115" s="36"/>
      <c r="N115" s="36"/>
      <c r="O115" s="36"/>
      <c r="P115" s="36"/>
      <c r="Q115" s="36"/>
      <c r="R115" s="96" t="str">
        <f>"ベース"&amp;SUBSTITUTE(C115,"バックアップ","")</f>
        <v>ベース_MML_処方箋モジュール_薬剤</v>
      </c>
      <c r="S115" s="97"/>
      <c r="T115" s="100" t="s">
        <v>3838</v>
      </c>
    </row>
    <row r="116" spans="2:23" ht="18.75" customHeight="1">
      <c r="C116" s="98"/>
      <c r="D116" s="99"/>
      <c r="E116" s="101"/>
      <c r="F116" s="37"/>
      <c r="G116" s="38"/>
      <c r="H116" s="37"/>
      <c r="I116" s="37"/>
      <c r="J116" s="37"/>
      <c r="K116" s="37"/>
      <c r="L116" s="37"/>
      <c r="M116" s="37"/>
      <c r="N116" s="37"/>
      <c r="O116" s="37"/>
      <c r="P116" s="37"/>
      <c r="Q116" s="37"/>
      <c r="R116" s="98"/>
      <c r="S116" s="99"/>
      <c r="T116" s="101"/>
    </row>
    <row r="117" spans="2:23" ht="18.75" customHeight="1">
      <c r="F117" s="39"/>
      <c r="G117" s="40"/>
    </row>
    <row r="118" spans="2:23" ht="18.75" customHeight="1">
      <c r="C118" s="96" t="s">
        <v>3793</v>
      </c>
      <c r="D118" s="97"/>
      <c r="E118" s="100" t="s">
        <v>3838</v>
      </c>
      <c r="G118" s="41"/>
    </row>
    <row r="119" spans="2:23" ht="18.75" customHeight="1">
      <c r="C119" s="98"/>
      <c r="D119" s="99"/>
      <c r="E119" s="101"/>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3788</v>
      </c>
      <c r="D123" s="52"/>
      <c r="W123" s="35" t="str">
        <f>"-- "&amp;B123&amp;" : "&amp;C123</f>
        <v>-- SQL_ID : 31_C1-02</v>
      </c>
    </row>
    <row r="124" spans="2:23" ht="18.75" customHeight="1">
      <c r="B124" s="43" t="s">
        <v>158</v>
      </c>
      <c r="C124" s="102" t="str">
        <f>R127&amp;"登録"</f>
        <v>ベース_DPC調査データ_入院EF統合ファイル登録</v>
      </c>
      <c r="D124" s="103"/>
      <c r="E124" s="103"/>
      <c r="F124" s="103"/>
      <c r="G124" s="103"/>
      <c r="H124" s="103"/>
      <c r="I124" s="103"/>
      <c r="J124" s="103"/>
      <c r="K124" s="103"/>
      <c r="L124" s="103"/>
      <c r="M124" s="103"/>
      <c r="N124" s="103"/>
      <c r="O124" s="103"/>
      <c r="P124" s="103"/>
      <c r="Q124" s="103"/>
      <c r="R124" s="103"/>
      <c r="S124" s="103"/>
      <c r="T124" s="103"/>
      <c r="U124" s="104"/>
      <c r="W124" s="35" t="str">
        <f>"-- "&amp;C124</f>
        <v>-- ベース_DPC調査データ_入院EF統合ファイル登録</v>
      </c>
    </row>
    <row r="125" spans="2:23" ht="18.75" customHeight="1">
      <c r="B125" s="43" t="s">
        <v>159</v>
      </c>
      <c r="C125" s="105" t="str">
        <f>C127&amp;"テーブルから対象患者で絞り込んだ結果を"&amp;R127&amp;"テーブルに格納する。"</f>
        <v>バックアップ_DPC調査データ_入院EF統合ファイルテーブルから対象患者で絞り込んだ結果をベース_DPC調査データ_入院EF統合ファイルテーブルに格納する。</v>
      </c>
      <c r="D125" s="106"/>
      <c r="E125" s="106"/>
      <c r="F125" s="106"/>
      <c r="G125" s="106"/>
      <c r="H125" s="106"/>
      <c r="I125" s="106"/>
      <c r="J125" s="106"/>
      <c r="K125" s="106"/>
      <c r="L125" s="106"/>
      <c r="M125" s="106"/>
      <c r="N125" s="106"/>
      <c r="O125" s="106"/>
      <c r="P125" s="106"/>
      <c r="Q125" s="106"/>
      <c r="R125" s="106"/>
      <c r="S125" s="106"/>
      <c r="T125" s="106"/>
      <c r="U125" s="107"/>
      <c r="W125" s="35" t="str">
        <f>"-- "&amp;C125</f>
        <v>-- バックアップ_DPC調査データ_入院EF統合ファイルテーブルから対象患者で絞り込んだ結果をベース_DPC調査データ_入院EF統合ファイルテーブルに格納する。</v>
      </c>
    </row>
    <row r="127" spans="2:23" ht="18.75" customHeight="1">
      <c r="C127" s="96" t="s">
        <v>182</v>
      </c>
      <c r="D127" s="97"/>
      <c r="E127" s="100" t="s">
        <v>3838</v>
      </c>
      <c r="H127" s="36"/>
      <c r="I127" s="36"/>
      <c r="J127" s="36"/>
      <c r="K127" s="36"/>
      <c r="L127" s="36"/>
      <c r="M127" s="36"/>
      <c r="N127" s="36"/>
      <c r="O127" s="36"/>
      <c r="P127" s="36"/>
      <c r="Q127" s="36"/>
      <c r="R127" s="96" t="str">
        <f>"ベース"&amp;SUBSTITUTE(C127,"バックアップ","")</f>
        <v>ベース_DPC調査データ_入院EF統合ファイル</v>
      </c>
      <c r="S127" s="97"/>
      <c r="T127" s="100" t="s">
        <v>3838</v>
      </c>
    </row>
    <row r="128" spans="2:23" ht="18.75" customHeight="1">
      <c r="C128" s="98"/>
      <c r="D128" s="99"/>
      <c r="E128" s="101"/>
      <c r="F128" s="37"/>
      <c r="G128" s="38"/>
      <c r="H128" s="37"/>
      <c r="I128" s="37"/>
      <c r="J128" s="37"/>
      <c r="K128" s="37"/>
      <c r="L128" s="37"/>
      <c r="M128" s="37"/>
      <c r="N128" s="37"/>
      <c r="O128" s="37"/>
      <c r="P128" s="37"/>
      <c r="Q128" s="37"/>
      <c r="R128" s="98"/>
      <c r="S128" s="99"/>
      <c r="T128" s="101"/>
    </row>
    <row r="129" spans="2:23" ht="18.75" customHeight="1">
      <c r="F129" s="39"/>
      <c r="G129" s="40"/>
    </row>
    <row r="130" spans="2:23" ht="18.75" customHeight="1">
      <c r="C130" s="96" t="s">
        <v>3793</v>
      </c>
      <c r="D130" s="97"/>
      <c r="E130" s="100" t="s">
        <v>3838</v>
      </c>
      <c r="G130" s="41"/>
    </row>
    <row r="131" spans="2:23" ht="18.75" customHeight="1">
      <c r="C131" s="98"/>
      <c r="D131" s="99"/>
      <c r="E131" s="101"/>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3789</v>
      </c>
      <c r="D135" s="52"/>
      <c r="W135" s="35" t="str">
        <f>"-- "&amp;B135&amp;" : "&amp;C135</f>
        <v>-- SQL_ID : 31_C1-03</v>
      </c>
    </row>
    <row r="136" spans="2:23" ht="18.75" customHeight="1">
      <c r="B136" s="43" t="s">
        <v>158</v>
      </c>
      <c r="C136" s="102" t="str">
        <f>R139&amp;"登録"</f>
        <v>ベース_DPC調査データ_外来EF統合ファイル登録</v>
      </c>
      <c r="D136" s="103"/>
      <c r="E136" s="103"/>
      <c r="F136" s="103"/>
      <c r="G136" s="103"/>
      <c r="H136" s="103"/>
      <c r="I136" s="103"/>
      <c r="J136" s="103"/>
      <c r="K136" s="103"/>
      <c r="L136" s="103"/>
      <c r="M136" s="103"/>
      <c r="N136" s="103"/>
      <c r="O136" s="103"/>
      <c r="P136" s="103"/>
      <c r="Q136" s="103"/>
      <c r="R136" s="103"/>
      <c r="S136" s="103"/>
      <c r="T136" s="103"/>
      <c r="U136" s="104"/>
      <c r="W136" s="35" t="str">
        <f>"-- "&amp;C136</f>
        <v>-- ベース_DPC調査データ_外来EF統合ファイル登録</v>
      </c>
    </row>
    <row r="137" spans="2:23" ht="18.75" customHeight="1">
      <c r="B137" s="43" t="s">
        <v>159</v>
      </c>
      <c r="C137" s="105" t="str">
        <f>C139&amp;"テーブルから対象患者で絞り込んだ結果を"&amp;R139&amp;"テーブルに格納する。"</f>
        <v>バックアップ_DPC調査データ_外来EF統合ファイルテーブルから対象患者で絞り込んだ結果をベース_DPC調査データ_外来EF統合ファイルテーブルに格納する。</v>
      </c>
      <c r="D137" s="106"/>
      <c r="E137" s="106"/>
      <c r="F137" s="106"/>
      <c r="G137" s="106"/>
      <c r="H137" s="106"/>
      <c r="I137" s="106"/>
      <c r="J137" s="106"/>
      <c r="K137" s="106"/>
      <c r="L137" s="106"/>
      <c r="M137" s="106"/>
      <c r="N137" s="106"/>
      <c r="O137" s="106"/>
      <c r="P137" s="106"/>
      <c r="Q137" s="106"/>
      <c r="R137" s="106"/>
      <c r="S137" s="106"/>
      <c r="T137" s="106"/>
      <c r="U137" s="107"/>
      <c r="W137" s="35" t="str">
        <f>"-- "&amp;C137</f>
        <v>-- バックアップ_DPC調査データ_外来EF統合ファイルテーブルから対象患者で絞り込んだ結果をベース_DPC調査データ_外来EF統合ファイルテーブルに格納する。</v>
      </c>
    </row>
    <row r="139" spans="2:23" ht="18.75" customHeight="1">
      <c r="C139" s="96" t="s">
        <v>183</v>
      </c>
      <c r="D139" s="97"/>
      <c r="E139" s="100" t="s">
        <v>3838</v>
      </c>
      <c r="H139" s="36"/>
      <c r="I139" s="36"/>
      <c r="J139" s="36"/>
      <c r="K139" s="36"/>
      <c r="L139" s="36"/>
      <c r="M139" s="36"/>
      <c r="N139" s="36"/>
      <c r="O139" s="36"/>
      <c r="P139" s="36"/>
      <c r="Q139" s="36"/>
      <c r="R139" s="96" t="str">
        <f>"ベース"&amp;SUBSTITUTE(C139,"バックアップ","")</f>
        <v>ベース_DPC調査データ_外来EF統合ファイル</v>
      </c>
      <c r="S139" s="97"/>
      <c r="T139" s="100" t="s">
        <v>3838</v>
      </c>
    </row>
    <row r="140" spans="2:23" ht="18.75" customHeight="1">
      <c r="C140" s="98"/>
      <c r="D140" s="99"/>
      <c r="E140" s="101"/>
      <c r="F140" s="37"/>
      <c r="G140" s="38"/>
      <c r="H140" s="37"/>
      <c r="I140" s="37"/>
      <c r="J140" s="37"/>
      <c r="K140" s="37"/>
      <c r="L140" s="37"/>
      <c r="M140" s="37"/>
      <c r="N140" s="37"/>
      <c r="O140" s="37"/>
      <c r="P140" s="37"/>
      <c r="Q140" s="37"/>
      <c r="R140" s="98"/>
      <c r="S140" s="99"/>
      <c r="T140" s="101"/>
    </row>
    <row r="141" spans="2:23" ht="18.75" customHeight="1">
      <c r="F141" s="39"/>
      <c r="G141" s="40"/>
    </row>
    <row r="142" spans="2:23" ht="18.75" customHeight="1">
      <c r="C142" s="96" t="s">
        <v>3793</v>
      </c>
      <c r="D142" s="97"/>
      <c r="E142" s="100" t="s">
        <v>3838</v>
      </c>
      <c r="G142" s="41"/>
    </row>
    <row r="143" spans="2:23" ht="18.75" customHeight="1">
      <c r="C143" s="98"/>
      <c r="D143" s="99"/>
      <c r="E143" s="101"/>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3790</v>
      </c>
      <c r="D147" s="52"/>
      <c r="W147" s="35" t="str">
        <f>"-- "&amp;B147&amp;" : "&amp;C147</f>
        <v>-- SQL_ID : 31_C1-05</v>
      </c>
    </row>
    <row r="148" spans="2:23" ht="18.75" customHeight="1">
      <c r="B148" s="43" t="s">
        <v>158</v>
      </c>
      <c r="C148" s="102" t="str">
        <f>R151&amp;"登録"</f>
        <v>ベース_DPC調査データ_様式1登録</v>
      </c>
      <c r="D148" s="103"/>
      <c r="E148" s="103"/>
      <c r="F148" s="103"/>
      <c r="G148" s="103"/>
      <c r="H148" s="103"/>
      <c r="I148" s="103"/>
      <c r="J148" s="103"/>
      <c r="K148" s="103"/>
      <c r="L148" s="103"/>
      <c r="M148" s="103"/>
      <c r="N148" s="103"/>
      <c r="O148" s="103"/>
      <c r="P148" s="103"/>
      <c r="Q148" s="103"/>
      <c r="R148" s="103"/>
      <c r="S148" s="103"/>
      <c r="T148" s="103"/>
      <c r="U148" s="104"/>
      <c r="W148" s="35" t="str">
        <f>"-- "&amp;C148</f>
        <v>-- ベース_DPC調査データ_様式1登録</v>
      </c>
    </row>
    <row r="149" spans="2:23" ht="18.75" customHeight="1">
      <c r="B149" s="43" t="s">
        <v>159</v>
      </c>
      <c r="C149" s="105" t="str">
        <f>C151&amp;"テーブルから対象患者で絞り込んだ結果を"&amp;R151&amp;"テーブルに格納する。"</f>
        <v>バックアップ_DPC調査データ_様式1テーブルから対象患者で絞り込んだ結果をベース_DPC調査データ_様式1テーブルに格納する。</v>
      </c>
      <c r="D149" s="106"/>
      <c r="E149" s="106"/>
      <c r="F149" s="106"/>
      <c r="G149" s="106"/>
      <c r="H149" s="106"/>
      <c r="I149" s="106"/>
      <c r="J149" s="106"/>
      <c r="K149" s="106"/>
      <c r="L149" s="106"/>
      <c r="M149" s="106"/>
      <c r="N149" s="106"/>
      <c r="O149" s="106"/>
      <c r="P149" s="106"/>
      <c r="Q149" s="106"/>
      <c r="R149" s="106"/>
      <c r="S149" s="106"/>
      <c r="T149" s="106"/>
      <c r="U149" s="107"/>
      <c r="W149" s="35" t="str">
        <f>"-- "&amp;C149</f>
        <v>-- バックアップ_DPC調査データ_様式1テーブルから対象患者で絞り込んだ結果をベース_DPC調査データ_様式1テーブルに格納する。</v>
      </c>
    </row>
    <row r="151" spans="2:23" ht="18.75" customHeight="1">
      <c r="C151" s="96" t="s">
        <v>184</v>
      </c>
      <c r="D151" s="97"/>
      <c r="E151" s="100" t="s">
        <v>3838</v>
      </c>
      <c r="H151" s="36"/>
      <c r="I151" s="36"/>
      <c r="J151" s="36"/>
      <c r="K151" s="36"/>
      <c r="L151" s="36"/>
      <c r="M151" s="36"/>
      <c r="N151" s="36"/>
      <c r="O151" s="36"/>
      <c r="P151" s="36"/>
      <c r="Q151" s="36"/>
      <c r="R151" s="96" t="str">
        <f>"ベース"&amp;SUBSTITUTE(C151,"バックアップ","")</f>
        <v>ベース_DPC調査データ_様式1</v>
      </c>
      <c r="S151" s="97"/>
      <c r="T151" s="100" t="s">
        <v>3838</v>
      </c>
    </row>
    <row r="152" spans="2:23" ht="18.75" customHeight="1">
      <c r="C152" s="98"/>
      <c r="D152" s="99"/>
      <c r="E152" s="101"/>
      <c r="F152" s="37"/>
      <c r="G152" s="38"/>
      <c r="H152" s="37"/>
      <c r="I152" s="37"/>
      <c r="J152" s="37"/>
      <c r="K152" s="37"/>
      <c r="L152" s="37"/>
      <c r="M152" s="37"/>
      <c r="N152" s="37"/>
      <c r="O152" s="37"/>
      <c r="P152" s="37"/>
      <c r="Q152" s="37"/>
      <c r="R152" s="98"/>
      <c r="S152" s="99"/>
      <c r="T152" s="101"/>
    </row>
    <row r="153" spans="2:23" ht="18.75" customHeight="1">
      <c r="F153" s="39"/>
      <c r="G153" s="40"/>
    </row>
    <row r="154" spans="2:23" ht="18.75" customHeight="1">
      <c r="C154" s="96" t="s">
        <v>3793</v>
      </c>
      <c r="D154" s="97"/>
      <c r="E154" s="100" t="s">
        <v>3838</v>
      </c>
      <c r="G154" s="41"/>
    </row>
    <row r="155" spans="2:23" ht="18.75" customHeight="1">
      <c r="C155" s="98"/>
      <c r="D155" s="99"/>
      <c r="E155" s="101"/>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3791</v>
      </c>
      <c r="D159" s="52"/>
      <c r="W159" s="35" t="str">
        <f>"-- "&amp;B159&amp;" : "&amp;C159</f>
        <v>-- SQL_ID : 31_C1-07</v>
      </c>
    </row>
    <row r="160" spans="2:23" ht="18.75" customHeight="1">
      <c r="B160" s="43" t="s">
        <v>158</v>
      </c>
      <c r="C160" s="102" t="str">
        <f>R163&amp;"登録"</f>
        <v>ベース_DPC調査データ_様式1_診断情報_併存症登録</v>
      </c>
      <c r="D160" s="103"/>
      <c r="E160" s="103"/>
      <c r="F160" s="103"/>
      <c r="G160" s="103"/>
      <c r="H160" s="103"/>
      <c r="I160" s="103"/>
      <c r="J160" s="103"/>
      <c r="K160" s="103"/>
      <c r="L160" s="103"/>
      <c r="M160" s="103"/>
      <c r="N160" s="103"/>
      <c r="O160" s="103"/>
      <c r="P160" s="103"/>
      <c r="Q160" s="103"/>
      <c r="R160" s="103"/>
      <c r="S160" s="103"/>
      <c r="T160" s="103"/>
      <c r="U160" s="104"/>
      <c r="W160" s="35" t="str">
        <f>"-- "&amp;C160</f>
        <v>-- ベース_DPC調査データ_様式1_診断情報_併存症登録</v>
      </c>
    </row>
    <row r="161" spans="2:23" ht="18.75" customHeight="1">
      <c r="B161" s="43" t="s">
        <v>159</v>
      </c>
      <c r="C161" s="105" t="str">
        <f>C163&amp;"テーブルから対象患者で絞り込んだ結果を"&amp;R163&amp;"テーブルに格納する。"</f>
        <v>バックアップ_DPC調査データ_様式1_診断情報_併存症テーブルから対象患者で絞り込んだ結果をベース_DPC調査データ_様式1_診断情報_併存症テーブルに格納する。</v>
      </c>
      <c r="D161" s="106"/>
      <c r="E161" s="106"/>
      <c r="F161" s="106"/>
      <c r="G161" s="106"/>
      <c r="H161" s="106"/>
      <c r="I161" s="106"/>
      <c r="J161" s="106"/>
      <c r="K161" s="106"/>
      <c r="L161" s="106"/>
      <c r="M161" s="106"/>
      <c r="N161" s="106"/>
      <c r="O161" s="106"/>
      <c r="P161" s="106"/>
      <c r="Q161" s="106"/>
      <c r="R161" s="106"/>
      <c r="S161" s="106"/>
      <c r="T161" s="106"/>
      <c r="U161" s="107"/>
      <c r="W161" s="35" t="str">
        <f>"-- "&amp;C161</f>
        <v>-- バックアップ_DPC調査データ_様式1_診断情報_併存症テーブルから対象患者で絞り込んだ結果をベース_DPC調査データ_様式1_診断情報_併存症テーブルに格納する。</v>
      </c>
    </row>
    <row r="163" spans="2:23" ht="18.75" customHeight="1">
      <c r="C163" s="96" t="s">
        <v>185</v>
      </c>
      <c r="D163" s="97"/>
      <c r="E163" s="100" t="s">
        <v>3838</v>
      </c>
      <c r="H163" s="36"/>
      <c r="I163" s="36"/>
      <c r="J163" s="36"/>
      <c r="K163" s="36"/>
      <c r="L163" s="36"/>
      <c r="M163" s="36"/>
      <c r="N163" s="36"/>
      <c r="O163" s="36"/>
      <c r="P163" s="36"/>
      <c r="Q163" s="36"/>
      <c r="R163" s="96" t="str">
        <f>"ベース"&amp;SUBSTITUTE(C163,"バックアップ","")</f>
        <v>ベース_DPC調査データ_様式1_診断情報_併存症</v>
      </c>
      <c r="S163" s="97"/>
      <c r="T163" s="100" t="s">
        <v>3838</v>
      </c>
    </row>
    <row r="164" spans="2:23" ht="18.75" customHeight="1">
      <c r="C164" s="98"/>
      <c r="D164" s="99"/>
      <c r="E164" s="101"/>
      <c r="F164" s="37"/>
      <c r="G164" s="38"/>
      <c r="H164" s="37"/>
      <c r="I164" s="37"/>
      <c r="J164" s="37"/>
      <c r="K164" s="37"/>
      <c r="L164" s="37"/>
      <c r="M164" s="37"/>
      <c r="N164" s="37"/>
      <c r="O164" s="37"/>
      <c r="P164" s="37"/>
      <c r="Q164" s="37"/>
      <c r="R164" s="98"/>
      <c r="S164" s="99"/>
      <c r="T164" s="101"/>
    </row>
    <row r="165" spans="2:23" ht="18.75" customHeight="1">
      <c r="F165" s="39"/>
      <c r="G165" s="40"/>
    </row>
    <row r="166" spans="2:23" ht="18.75" customHeight="1">
      <c r="C166" s="96" t="s">
        <v>3793</v>
      </c>
      <c r="D166" s="97"/>
      <c r="E166" s="100" t="s">
        <v>3838</v>
      </c>
      <c r="G166" s="41"/>
    </row>
    <row r="167" spans="2:23" ht="18.75" customHeight="1">
      <c r="C167" s="98"/>
      <c r="D167" s="99"/>
      <c r="E167" s="101"/>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3792</v>
      </c>
      <c r="D171" s="52"/>
      <c r="W171" s="35" t="str">
        <f>"-- "&amp;B171&amp;" : "&amp;C171</f>
        <v>-- SQL_ID : 31_C1-08</v>
      </c>
    </row>
    <row r="172" spans="2:23" ht="18.75" customHeight="1">
      <c r="B172" s="43" t="s">
        <v>158</v>
      </c>
      <c r="C172" s="102" t="str">
        <f>R175&amp;"登録"</f>
        <v>ベース_DPC調査データ_様式1_診断情報_続発症登録</v>
      </c>
      <c r="D172" s="103"/>
      <c r="E172" s="103"/>
      <c r="F172" s="103"/>
      <c r="G172" s="103"/>
      <c r="H172" s="103"/>
      <c r="I172" s="103"/>
      <c r="J172" s="103"/>
      <c r="K172" s="103"/>
      <c r="L172" s="103"/>
      <c r="M172" s="103"/>
      <c r="N172" s="103"/>
      <c r="O172" s="103"/>
      <c r="P172" s="103"/>
      <c r="Q172" s="103"/>
      <c r="R172" s="103"/>
      <c r="S172" s="103"/>
      <c r="T172" s="103"/>
      <c r="U172" s="104"/>
      <c r="W172" s="35" t="str">
        <f>"-- "&amp;C172</f>
        <v>-- ベース_DPC調査データ_様式1_診断情報_続発症登録</v>
      </c>
    </row>
    <row r="173" spans="2:23" ht="18.75" customHeight="1">
      <c r="B173" s="43" t="s">
        <v>159</v>
      </c>
      <c r="C173" s="105" t="str">
        <f>C175&amp;"テーブルから対象患者で絞り込んだ結果を"&amp;R175&amp;"テーブルに格納する。"</f>
        <v>バックアップ_DPC調査データ_様式1_診断情報_続発症テーブルから対象患者で絞り込んだ結果をベース_DPC調査データ_様式1_診断情報_続発症テーブルに格納する。</v>
      </c>
      <c r="D173" s="106"/>
      <c r="E173" s="106"/>
      <c r="F173" s="106"/>
      <c r="G173" s="106"/>
      <c r="H173" s="106"/>
      <c r="I173" s="106"/>
      <c r="J173" s="106"/>
      <c r="K173" s="106"/>
      <c r="L173" s="106"/>
      <c r="M173" s="106"/>
      <c r="N173" s="106"/>
      <c r="O173" s="106"/>
      <c r="P173" s="106"/>
      <c r="Q173" s="106"/>
      <c r="R173" s="106"/>
      <c r="S173" s="106"/>
      <c r="T173" s="106"/>
      <c r="U173" s="107"/>
      <c r="W173" s="35" t="str">
        <f>"-- "&amp;C173</f>
        <v>-- バックアップ_DPC調査データ_様式1_診断情報_続発症テーブルから対象患者で絞り込んだ結果をベース_DPC調査データ_様式1_診断情報_続発症テーブルに格納する。</v>
      </c>
    </row>
    <row r="175" spans="2:23" ht="18.75" customHeight="1">
      <c r="C175" s="96" t="s">
        <v>186</v>
      </c>
      <c r="D175" s="97"/>
      <c r="E175" s="100" t="s">
        <v>3838</v>
      </c>
      <c r="H175" s="36"/>
      <c r="I175" s="36"/>
      <c r="J175" s="36"/>
      <c r="K175" s="36"/>
      <c r="L175" s="36"/>
      <c r="M175" s="36"/>
      <c r="N175" s="36"/>
      <c r="O175" s="36"/>
      <c r="P175" s="36"/>
      <c r="Q175" s="36"/>
      <c r="R175" s="96" t="str">
        <f>"ベース"&amp;SUBSTITUTE(C175,"バックアップ","")</f>
        <v>ベース_DPC調査データ_様式1_診断情報_続発症</v>
      </c>
      <c r="S175" s="97"/>
      <c r="T175" s="100" t="s">
        <v>3838</v>
      </c>
    </row>
    <row r="176" spans="2:23" ht="18.75" customHeight="1">
      <c r="C176" s="98"/>
      <c r="D176" s="99"/>
      <c r="E176" s="101"/>
      <c r="F176" s="37"/>
      <c r="G176" s="38"/>
      <c r="H176" s="37"/>
      <c r="I176" s="37"/>
      <c r="J176" s="37"/>
      <c r="K176" s="37"/>
      <c r="L176" s="37"/>
      <c r="M176" s="37"/>
      <c r="N176" s="37"/>
      <c r="O176" s="37"/>
      <c r="P176" s="37"/>
      <c r="Q176" s="37"/>
      <c r="R176" s="98"/>
      <c r="S176" s="99"/>
      <c r="T176" s="101"/>
    </row>
    <row r="177" spans="2:23" ht="18.75" customHeight="1">
      <c r="F177" s="39"/>
      <c r="G177" s="40"/>
    </row>
    <row r="178" spans="2:23" ht="18.75" customHeight="1">
      <c r="C178" s="96" t="s">
        <v>3793</v>
      </c>
      <c r="D178" s="97"/>
      <c r="E178" s="100" t="s">
        <v>3838</v>
      </c>
      <c r="G178" s="41"/>
    </row>
    <row r="179" spans="2:23" ht="18.75" customHeight="1">
      <c r="C179" s="98"/>
      <c r="D179" s="99"/>
      <c r="E179" s="101"/>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3815</v>
      </c>
      <c r="D183" s="94"/>
      <c r="W183" s="35" t="str">
        <f>"-- "&amp;B183&amp;" : "&amp;C183</f>
        <v>-- SQL_ID : 31_C4-03</v>
      </c>
    </row>
    <row r="184" spans="2:23" ht="18.75" customHeight="1">
      <c r="B184" s="43" t="s">
        <v>158</v>
      </c>
      <c r="C184" s="102" t="str">
        <f>R187&amp;"登録"</f>
        <v>ベース_診断履歴情報モジュール_診断履歴情報レコード登録</v>
      </c>
      <c r="D184" s="103"/>
      <c r="E184" s="103"/>
      <c r="F184" s="103"/>
      <c r="G184" s="103"/>
      <c r="H184" s="103"/>
      <c r="I184" s="103"/>
      <c r="J184" s="103"/>
      <c r="K184" s="103"/>
      <c r="L184" s="103"/>
      <c r="M184" s="103"/>
      <c r="N184" s="103"/>
      <c r="O184" s="103"/>
      <c r="P184" s="103"/>
      <c r="Q184" s="103"/>
      <c r="R184" s="103"/>
      <c r="S184" s="103"/>
      <c r="T184" s="103"/>
      <c r="U184" s="104"/>
      <c r="W184" s="35" t="str">
        <f>"-- "&amp;C184</f>
        <v>-- ベース_診断履歴情報モジュール_診断履歴情報レコード登録</v>
      </c>
    </row>
    <row r="185" spans="2:23" ht="18.75" customHeight="1">
      <c r="B185" s="43" t="s">
        <v>159</v>
      </c>
      <c r="C185" s="105" t="str">
        <f>C187&amp;"テーブルから対象患者で絞り込んだ結果を"&amp;R187&amp;"テーブルに格納する。"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185" s="106"/>
      <c r="E185" s="106"/>
      <c r="F185" s="106"/>
      <c r="G185" s="106"/>
      <c r="H185" s="106"/>
      <c r="I185" s="106"/>
      <c r="J185" s="106"/>
      <c r="K185" s="106"/>
      <c r="L185" s="106"/>
      <c r="M185" s="106"/>
      <c r="N185" s="106"/>
      <c r="O185" s="106"/>
      <c r="P185" s="106"/>
      <c r="Q185" s="106"/>
      <c r="R185" s="106"/>
      <c r="S185" s="106"/>
      <c r="T185" s="106"/>
      <c r="U185" s="107"/>
      <c r="W185" s="35" t="str">
        <f>"-- "&amp;C185</f>
        <v>-- バックアップ_診断履歴情報モジュール_診断履歴情報レコードテーブルから対象患者で絞り込んだ結果をベース_診断履歴情報モジュール_診断履歴情報レコードテーブルに格納する。</v>
      </c>
    </row>
    <row r="187" spans="2:23" ht="18.75" customHeight="1">
      <c r="C187" s="118" t="s">
        <v>3816</v>
      </c>
      <c r="D187" s="119"/>
      <c r="E187" s="100" t="s">
        <v>3838</v>
      </c>
      <c r="H187" s="36"/>
      <c r="I187" s="36"/>
      <c r="J187" s="36"/>
      <c r="K187" s="36"/>
      <c r="L187" s="36"/>
      <c r="M187" s="36"/>
      <c r="N187" s="36"/>
      <c r="O187" s="36"/>
      <c r="P187" s="36"/>
      <c r="Q187" s="36"/>
      <c r="R187" s="118" t="str">
        <f>"ベース"&amp;SUBSTITUTE(C187,"バックアップ","")</f>
        <v>ベース_診断履歴情報モジュール_診断履歴情報レコード</v>
      </c>
      <c r="S187" s="119"/>
      <c r="T187" s="100" t="s">
        <v>3838</v>
      </c>
    </row>
    <row r="188" spans="2:23" ht="18.75" customHeight="1">
      <c r="C188" s="120"/>
      <c r="D188" s="121"/>
      <c r="E188" s="101"/>
      <c r="F188" s="37"/>
      <c r="G188" s="38"/>
      <c r="H188" s="37"/>
      <c r="I188" s="37"/>
      <c r="J188" s="37"/>
      <c r="K188" s="37"/>
      <c r="L188" s="37"/>
      <c r="M188" s="37"/>
      <c r="N188" s="37"/>
      <c r="O188" s="37"/>
      <c r="P188" s="37"/>
      <c r="Q188" s="37"/>
      <c r="R188" s="120"/>
      <c r="S188" s="121"/>
      <c r="T188" s="101"/>
    </row>
    <row r="189" spans="2:23" ht="18.75" customHeight="1">
      <c r="F189" s="39"/>
      <c r="G189" s="40"/>
    </row>
    <row r="190" spans="2:23" ht="18.75" customHeight="1">
      <c r="C190" s="96" t="s">
        <v>3793</v>
      </c>
      <c r="D190" s="97"/>
      <c r="E190" s="100" t="s">
        <v>3838</v>
      </c>
      <c r="G190" s="41"/>
    </row>
    <row r="191" spans="2:23" ht="18.75" customHeight="1">
      <c r="C191" s="98"/>
      <c r="D191" s="99"/>
      <c r="E191" s="101"/>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3814</v>
      </c>
      <c r="D195" s="94"/>
      <c r="W195" s="35" t="str">
        <f>"-- "&amp;B195&amp;" : "&amp;C195</f>
        <v>-- SQL_ID : 31_C4-04</v>
      </c>
    </row>
    <row r="196" spans="2:23" ht="18.75" customHeight="1">
      <c r="B196" s="43" t="s">
        <v>158</v>
      </c>
      <c r="C196" s="102" t="str">
        <f>R199&amp;"登録"</f>
        <v>ベース_診断履歴情報モジュール_診断病名レコード登録</v>
      </c>
      <c r="D196" s="103"/>
      <c r="E196" s="103"/>
      <c r="F196" s="103"/>
      <c r="G196" s="103"/>
      <c r="H196" s="103"/>
      <c r="I196" s="103"/>
      <c r="J196" s="103"/>
      <c r="K196" s="103"/>
      <c r="L196" s="103"/>
      <c r="M196" s="103"/>
      <c r="N196" s="103"/>
      <c r="O196" s="103"/>
      <c r="P196" s="103"/>
      <c r="Q196" s="103"/>
      <c r="R196" s="103"/>
      <c r="S196" s="103"/>
      <c r="T196" s="103"/>
      <c r="U196" s="104"/>
      <c r="W196" s="35" t="str">
        <f>"-- "&amp;C196</f>
        <v>-- ベース_診断履歴情報モジュール_診断病名レコード登録</v>
      </c>
    </row>
    <row r="197" spans="2:23" ht="18.75" customHeight="1">
      <c r="B197" s="43" t="s">
        <v>159</v>
      </c>
      <c r="C197" s="105" t="str">
        <f>C199&amp;"テーブルから対象患者で絞り込んだ結果を"&amp;R199&amp;"テーブルに格納する。"</f>
        <v>バックアップ_診断履歴情報モジュール_診断病名レコードテーブルから対象患者で絞り込んだ結果をベース_診断履歴情報モジュール_診断病名レコードテーブルに格納する。</v>
      </c>
      <c r="D197" s="106"/>
      <c r="E197" s="106"/>
      <c r="F197" s="106"/>
      <c r="G197" s="106"/>
      <c r="H197" s="106"/>
      <c r="I197" s="106"/>
      <c r="J197" s="106"/>
      <c r="K197" s="106"/>
      <c r="L197" s="106"/>
      <c r="M197" s="106"/>
      <c r="N197" s="106"/>
      <c r="O197" s="106"/>
      <c r="P197" s="106"/>
      <c r="Q197" s="106"/>
      <c r="R197" s="106"/>
      <c r="S197" s="106"/>
      <c r="T197" s="106"/>
      <c r="U197" s="107"/>
      <c r="W197" s="35" t="str">
        <f>"-- "&amp;C197</f>
        <v>-- バックアップ_診断履歴情報モジュール_診断病名レコードテーブルから対象患者で絞り込んだ結果をベース_診断履歴情報モジュール_診断病名レコードテーブルに格納する。</v>
      </c>
    </row>
    <row r="199" spans="2:23" ht="18.75" customHeight="1">
      <c r="C199" s="118" t="s">
        <v>3817</v>
      </c>
      <c r="D199" s="119"/>
      <c r="E199" s="100" t="s">
        <v>3838</v>
      </c>
      <c r="H199" s="36"/>
      <c r="I199" s="36"/>
      <c r="J199" s="36"/>
      <c r="K199" s="36"/>
      <c r="L199" s="36"/>
      <c r="M199" s="36"/>
      <c r="N199" s="36"/>
      <c r="O199" s="36"/>
      <c r="P199" s="36"/>
      <c r="Q199" s="36"/>
      <c r="R199" s="118" t="str">
        <f>"ベース"&amp;SUBSTITUTE(C199,"バックアップ","")</f>
        <v>ベース_診断履歴情報モジュール_診断病名レコード</v>
      </c>
      <c r="S199" s="119"/>
      <c r="T199" s="100" t="s">
        <v>3838</v>
      </c>
    </row>
    <row r="200" spans="2:23" ht="18.75" customHeight="1">
      <c r="C200" s="120"/>
      <c r="D200" s="121"/>
      <c r="E200" s="101"/>
      <c r="F200" s="37"/>
      <c r="G200" s="38"/>
      <c r="H200" s="37"/>
      <c r="I200" s="37"/>
      <c r="J200" s="37"/>
      <c r="K200" s="37"/>
      <c r="L200" s="37"/>
      <c r="M200" s="37"/>
      <c r="N200" s="37"/>
      <c r="O200" s="37"/>
      <c r="P200" s="37"/>
      <c r="Q200" s="37"/>
      <c r="R200" s="120"/>
      <c r="S200" s="121"/>
      <c r="T200" s="101"/>
    </row>
    <row r="201" spans="2:23" ht="18.75" customHeight="1">
      <c r="F201" s="39"/>
      <c r="G201" s="40"/>
    </row>
    <row r="202" spans="2:23" ht="18.75" customHeight="1">
      <c r="C202" s="96" t="s">
        <v>3793</v>
      </c>
      <c r="D202" s="97"/>
      <c r="E202" s="100" t="s">
        <v>3838</v>
      </c>
      <c r="G202" s="41"/>
    </row>
    <row r="203" spans="2:23" ht="18.75" customHeight="1">
      <c r="C203" s="98"/>
      <c r="D203" s="99"/>
      <c r="E203" s="101"/>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3819</v>
      </c>
      <c r="D207" s="94"/>
      <c r="W207" s="35" t="str">
        <f>"-- "&amp;B207&amp;" : "&amp;C207</f>
        <v>-- SQL_ID : 31_C4-06</v>
      </c>
    </row>
    <row r="208" spans="2:23" ht="18.75" customHeight="1">
      <c r="B208" s="43" t="s">
        <v>158</v>
      </c>
      <c r="C208" s="102" t="str">
        <f>R211&amp;"登録"</f>
        <v>ベース_経過記録情報モジュール_経過記録情報レコード登録</v>
      </c>
      <c r="D208" s="103"/>
      <c r="E208" s="103"/>
      <c r="F208" s="103"/>
      <c r="G208" s="103"/>
      <c r="H208" s="103"/>
      <c r="I208" s="103"/>
      <c r="J208" s="103"/>
      <c r="K208" s="103"/>
      <c r="L208" s="103"/>
      <c r="M208" s="103"/>
      <c r="N208" s="103"/>
      <c r="O208" s="103"/>
      <c r="P208" s="103"/>
      <c r="Q208" s="103"/>
      <c r="R208" s="103"/>
      <c r="S208" s="103"/>
      <c r="T208" s="103"/>
      <c r="U208" s="104"/>
      <c r="W208" s="35" t="str">
        <f>"-- "&amp;C208</f>
        <v>-- ベース_経過記録情報モジュール_経過記録情報レコード登録</v>
      </c>
    </row>
    <row r="209" spans="2:23" ht="18.75" customHeight="1">
      <c r="B209" s="43" t="s">
        <v>159</v>
      </c>
      <c r="C209" s="105" t="str">
        <f>C211&amp;"テーブルから対象患者で絞り込んだ結果を"&amp;R211&amp;"テーブルに格納する。"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09" s="106"/>
      <c r="E209" s="106"/>
      <c r="F209" s="106"/>
      <c r="G209" s="106"/>
      <c r="H209" s="106"/>
      <c r="I209" s="106"/>
      <c r="J209" s="106"/>
      <c r="K209" s="106"/>
      <c r="L209" s="106"/>
      <c r="M209" s="106"/>
      <c r="N209" s="106"/>
      <c r="O209" s="106"/>
      <c r="P209" s="106"/>
      <c r="Q209" s="106"/>
      <c r="R209" s="106"/>
      <c r="S209" s="106"/>
      <c r="T209" s="106"/>
      <c r="U209" s="107"/>
      <c r="W209" s="35" t="str">
        <f>"-- "&amp;C209</f>
        <v>-- バックアップ_経過記録情報モジュール_経過記録情報レコードテーブルから対象患者で絞り込んだ結果をベース_経過記録情報モジュール_経過記録情報レコードテーブルに格納する。</v>
      </c>
    </row>
    <row r="211" spans="2:23" ht="18.75" customHeight="1">
      <c r="C211" s="118" t="s">
        <v>3818</v>
      </c>
      <c r="D211" s="119"/>
      <c r="E211" s="100" t="s">
        <v>3838</v>
      </c>
      <c r="H211" s="36"/>
      <c r="I211" s="36"/>
      <c r="J211" s="36"/>
      <c r="K211" s="36"/>
      <c r="L211" s="36"/>
      <c r="M211" s="36"/>
      <c r="N211" s="36"/>
      <c r="O211" s="36"/>
      <c r="P211" s="36"/>
      <c r="Q211" s="36"/>
      <c r="R211" s="118" t="str">
        <f>"ベース"&amp;SUBSTITUTE(C211,"バックアップ","")</f>
        <v>ベース_経過記録情報モジュール_経過記録情報レコード</v>
      </c>
      <c r="S211" s="119"/>
      <c r="T211" s="100" t="s">
        <v>3838</v>
      </c>
    </row>
    <row r="212" spans="2:23" ht="18.75" customHeight="1">
      <c r="C212" s="120"/>
      <c r="D212" s="121"/>
      <c r="E212" s="101"/>
      <c r="F212" s="37"/>
      <c r="G212" s="38"/>
      <c r="H212" s="37"/>
      <c r="I212" s="37"/>
      <c r="J212" s="37"/>
      <c r="K212" s="37"/>
      <c r="L212" s="37"/>
      <c r="M212" s="37"/>
      <c r="N212" s="37"/>
      <c r="O212" s="37"/>
      <c r="P212" s="37"/>
      <c r="Q212" s="37"/>
      <c r="R212" s="120"/>
      <c r="S212" s="121"/>
      <c r="T212" s="101"/>
    </row>
    <row r="213" spans="2:23" ht="18.75" customHeight="1">
      <c r="F213" s="39"/>
      <c r="G213" s="40"/>
    </row>
    <row r="214" spans="2:23" ht="18.75" customHeight="1">
      <c r="C214" s="96" t="s">
        <v>3793</v>
      </c>
      <c r="D214" s="97"/>
      <c r="E214" s="100" t="s">
        <v>3838</v>
      </c>
      <c r="G214" s="41"/>
    </row>
    <row r="215" spans="2:23" ht="18.75" customHeight="1">
      <c r="C215" s="98"/>
      <c r="D215" s="99"/>
      <c r="E215" s="101"/>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3820</v>
      </c>
      <c r="D219" s="94"/>
      <c r="W219" s="35" t="str">
        <f>"-- "&amp;B219&amp;" : "&amp;C219</f>
        <v>-- SQL_ID : 31_C4-07</v>
      </c>
    </row>
    <row r="220" spans="2:23" ht="18.75" customHeight="1">
      <c r="B220" s="43" t="s">
        <v>158</v>
      </c>
      <c r="C220" s="102" t="str">
        <f>R223&amp;"登録"</f>
        <v>ベース_経過記録情報モジュール_プロブレムレコード登録</v>
      </c>
      <c r="D220" s="103"/>
      <c r="E220" s="103"/>
      <c r="F220" s="103"/>
      <c r="G220" s="103"/>
      <c r="H220" s="103"/>
      <c r="I220" s="103"/>
      <c r="J220" s="103"/>
      <c r="K220" s="103"/>
      <c r="L220" s="103"/>
      <c r="M220" s="103"/>
      <c r="N220" s="103"/>
      <c r="O220" s="103"/>
      <c r="P220" s="103"/>
      <c r="Q220" s="103"/>
      <c r="R220" s="103"/>
      <c r="S220" s="103"/>
      <c r="T220" s="103"/>
      <c r="U220" s="104"/>
      <c r="W220" s="35" t="str">
        <f>"-- "&amp;C220</f>
        <v>-- ベース_経過記録情報モジュール_プロブレムレコード登録</v>
      </c>
    </row>
    <row r="221" spans="2:23" ht="18.75" customHeight="1">
      <c r="B221" s="43" t="s">
        <v>159</v>
      </c>
      <c r="C221" s="105" t="str">
        <f>C223&amp;"テーブルから対象患者で絞り込んだ結果を"&amp;R223&amp;"テーブルに格納する。"</f>
        <v>バックアップ_経過記録情報モジュール_プロブレムレコードテーブルから対象患者で絞り込んだ結果をベース_経過記録情報モジュール_プロブレムレコードテーブルに格納する。</v>
      </c>
      <c r="D221" s="106"/>
      <c r="E221" s="106"/>
      <c r="F221" s="106"/>
      <c r="G221" s="106"/>
      <c r="H221" s="106"/>
      <c r="I221" s="106"/>
      <c r="J221" s="106"/>
      <c r="K221" s="106"/>
      <c r="L221" s="106"/>
      <c r="M221" s="106"/>
      <c r="N221" s="106"/>
      <c r="O221" s="106"/>
      <c r="P221" s="106"/>
      <c r="Q221" s="106"/>
      <c r="R221" s="106"/>
      <c r="S221" s="106"/>
      <c r="T221" s="106"/>
      <c r="U221" s="107"/>
      <c r="W221" s="35" t="str">
        <f>"-- "&amp;C221</f>
        <v>-- バックアップ_経過記録情報モジュール_プロブレムレコードテーブルから対象患者で絞り込んだ結果をベース_経過記録情報モジュール_プロブレムレコードテーブルに格納する。</v>
      </c>
    </row>
    <row r="223" spans="2:23" ht="18.75" customHeight="1">
      <c r="C223" s="118" t="s">
        <v>3821</v>
      </c>
      <c r="D223" s="119"/>
      <c r="E223" s="100" t="s">
        <v>3838</v>
      </c>
      <c r="H223" s="36"/>
      <c r="I223" s="36"/>
      <c r="J223" s="36"/>
      <c r="K223" s="36"/>
      <c r="L223" s="36"/>
      <c r="M223" s="36"/>
      <c r="N223" s="36"/>
      <c r="O223" s="36"/>
      <c r="P223" s="36"/>
      <c r="Q223" s="36"/>
      <c r="R223" s="118" t="str">
        <f>"ベース"&amp;SUBSTITUTE(C223,"バックアップ","")</f>
        <v>ベース_経過記録情報モジュール_プロブレムレコード</v>
      </c>
      <c r="S223" s="119"/>
      <c r="T223" s="100" t="s">
        <v>3838</v>
      </c>
    </row>
    <row r="224" spans="2:23" ht="18.75" customHeight="1">
      <c r="C224" s="120"/>
      <c r="D224" s="121"/>
      <c r="E224" s="101"/>
      <c r="F224" s="37"/>
      <c r="G224" s="38"/>
      <c r="H224" s="37"/>
      <c r="I224" s="37"/>
      <c r="J224" s="37"/>
      <c r="K224" s="37"/>
      <c r="L224" s="37"/>
      <c r="M224" s="37"/>
      <c r="N224" s="37"/>
      <c r="O224" s="37"/>
      <c r="P224" s="37"/>
      <c r="Q224" s="37"/>
      <c r="R224" s="120"/>
      <c r="S224" s="121"/>
      <c r="T224" s="101"/>
    </row>
    <row r="225" spans="2:23" ht="18.75" customHeight="1">
      <c r="F225" s="39"/>
      <c r="G225" s="40"/>
    </row>
    <row r="226" spans="2:23" ht="18.75" customHeight="1">
      <c r="C226" s="96" t="s">
        <v>3793</v>
      </c>
      <c r="D226" s="97"/>
      <c r="E226" s="100" t="s">
        <v>3838</v>
      </c>
      <c r="G226" s="41"/>
    </row>
    <row r="227" spans="2:23" ht="18.75" customHeight="1">
      <c r="C227" s="98"/>
      <c r="D227" s="99"/>
      <c r="E227" s="101"/>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3822</v>
      </c>
      <c r="D231" s="94"/>
      <c r="W231" s="35" t="str">
        <f>"-- "&amp;B231&amp;" : "&amp;C231</f>
        <v>-- SQL_ID : 31_C4-08</v>
      </c>
    </row>
    <row r="232" spans="2:23" ht="18.75" customHeight="1">
      <c r="B232" s="43" t="s">
        <v>158</v>
      </c>
      <c r="C232" s="102" t="str">
        <f>R235&amp;"登録"</f>
        <v>ベース_経過記録情報モジュール_身体所見レコード登録</v>
      </c>
      <c r="D232" s="103"/>
      <c r="E232" s="103"/>
      <c r="F232" s="103"/>
      <c r="G232" s="103"/>
      <c r="H232" s="103"/>
      <c r="I232" s="103"/>
      <c r="J232" s="103"/>
      <c r="K232" s="103"/>
      <c r="L232" s="103"/>
      <c r="M232" s="103"/>
      <c r="N232" s="103"/>
      <c r="O232" s="103"/>
      <c r="P232" s="103"/>
      <c r="Q232" s="103"/>
      <c r="R232" s="103"/>
      <c r="S232" s="103"/>
      <c r="T232" s="103"/>
      <c r="U232" s="104"/>
      <c r="W232" s="35" t="str">
        <f>"-- "&amp;C232</f>
        <v>-- ベース_経過記録情報モジュール_身体所見レコード登録</v>
      </c>
    </row>
    <row r="233" spans="2:23" ht="18.75" customHeight="1">
      <c r="B233" s="43" t="s">
        <v>159</v>
      </c>
      <c r="C233" s="105" t="str">
        <f>C235&amp;"テーブルから対象患者で絞り込んだ結果を"&amp;R235&amp;"テーブルに格納する。"</f>
        <v>バックアップ_経過記録情報モジュール_身体所見レコードテーブルから対象患者で絞り込んだ結果をベース_経過記録情報モジュール_身体所見レコードテーブルに格納する。</v>
      </c>
      <c r="D233" s="106"/>
      <c r="E233" s="106"/>
      <c r="F233" s="106"/>
      <c r="G233" s="106"/>
      <c r="H233" s="106"/>
      <c r="I233" s="106"/>
      <c r="J233" s="106"/>
      <c r="K233" s="106"/>
      <c r="L233" s="106"/>
      <c r="M233" s="106"/>
      <c r="N233" s="106"/>
      <c r="O233" s="106"/>
      <c r="P233" s="106"/>
      <c r="Q233" s="106"/>
      <c r="R233" s="106"/>
      <c r="S233" s="106"/>
      <c r="T233" s="106"/>
      <c r="U233" s="107"/>
      <c r="W233" s="35" t="str">
        <f>"-- "&amp;C233</f>
        <v>-- バックアップ_経過記録情報モジュール_身体所見レコードテーブルから対象患者で絞り込んだ結果をベース_経過記録情報モジュール_身体所見レコードテーブルに格納する。</v>
      </c>
    </row>
    <row r="235" spans="2:23" ht="18.75" customHeight="1">
      <c r="C235" s="118" t="s">
        <v>3823</v>
      </c>
      <c r="D235" s="119"/>
      <c r="E235" s="100" t="s">
        <v>3838</v>
      </c>
      <c r="H235" s="36"/>
      <c r="I235" s="36"/>
      <c r="J235" s="36"/>
      <c r="K235" s="36"/>
      <c r="L235" s="36"/>
      <c r="M235" s="36"/>
      <c r="N235" s="36"/>
      <c r="O235" s="36"/>
      <c r="P235" s="36"/>
      <c r="Q235" s="36"/>
      <c r="R235" s="118" t="str">
        <f>"ベース"&amp;SUBSTITUTE(C235,"バックアップ","")</f>
        <v>ベース_経過記録情報モジュール_身体所見レコード</v>
      </c>
      <c r="S235" s="119"/>
      <c r="T235" s="100" t="s">
        <v>3838</v>
      </c>
    </row>
    <row r="236" spans="2:23" ht="18.75" customHeight="1">
      <c r="C236" s="120"/>
      <c r="D236" s="121"/>
      <c r="E236" s="101"/>
      <c r="F236" s="37"/>
      <c r="G236" s="38"/>
      <c r="H236" s="37"/>
      <c r="I236" s="37"/>
      <c r="J236" s="37"/>
      <c r="K236" s="37"/>
      <c r="L236" s="37"/>
      <c r="M236" s="37"/>
      <c r="N236" s="37"/>
      <c r="O236" s="37"/>
      <c r="P236" s="37"/>
      <c r="Q236" s="37"/>
      <c r="R236" s="120"/>
      <c r="S236" s="121"/>
      <c r="T236" s="101"/>
    </row>
    <row r="237" spans="2:23" ht="18.75" customHeight="1">
      <c r="F237" s="39"/>
      <c r="G237" s="40"/>
    </row>
    <row r="238" spans="2:23" ht="18.75" customHeight="1">
      <c r="C238" s="96" t="s">
        <v>3793</v>
      </c>
      <c r="D238" s="97"/>
      <c r="E238" s="100" t="s">
        <v>3838</v>
      </c>
      <c r="G238" s="41"/>
    </row>
    <row r="239" spans="2:23" ht="18.75" customHeight="1">
      <c r="C239" s="98"/>
      <c r="D239" s="99"/>
      <c r="E239" s="101"/>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3824</v>
      </c>
      <c r="D243" s="94"/>
      <c r="W243" s="35" t="str">
        <f>"-- "&amp;B243&amp;" : "&amp;C243</f>
        <v>-- SQL_ID : 31_C4-15</v>
      </c>
    </row>
    <row r="244" spans="2:23" ht="18.75" customHeight="1">
      <c r="B244" s="43" t="s">
        <v>158</v>
      </c>
      <c r="C244" s="102" t="str">
        <f>R247&amp;"登録"</f>
        <v>ベース_経過記録情報モジュール_アセスメントレコード登録</v>
      </c>
      <c r="D244" s="103"/>
      <c r="E244" s="103"/>
      <c r="F244" s="103"/>
      <c r="G244" s="103"/>
      <c r="H244" s="103"/>
      <c r="I244" s="103"/>
      <c r="J244" s="103"/>
      <c r="K244" s="103"/>
      <c r="L244" s="103"/>
      <c r="M244" s="103"/>
      <c r="N244" s="103"/>
      <c r="O244" s="103"/>
      <c r="P244" s="103"/>
      <c r="Q244" s="103"/>
      <c r="R244" s="103"/>
      <c r="S244" s="103"/>
      <c r="T244" s="103"/>
      <c r="U244" s="104"/>
      <c r="W244" s="35" t="str">
        <f>"-- "&amp;C244</f>
        <v>-- ベース_経過記録情報モジュール_アセスメントレコード登録</v>
      </c>
    </row>
    <row r="245" spans="2:23" ht="18.75" customHeight="1">
      <c r="B245" s="43" t="s">
        <v>159</v>
      </c>
      <c r="C245" s="105" t="str">
        <f>C247&amp;"テーブルから対象患者で絞り込んだ結果を"&amp;R247&amp;"テーブルに格納する。"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245" s="106"/>
      <c r="E245" s="106"/>
      <c r="F245" s="106"/>
      <c r="G245" s="106"/>
      <c r="H245" s="106"/>
      <c r="I245" s="106"/>
      <c r="J245" s="106"/>
      <c r="K245" s="106"/>
      <c r="L245" s="106"/>
      <c r="M245" s="106"/>
      <c r="N245" s="106"/>
      <c r="O245" s="106"/>
      <c r="P245" s="106"/>
      <c r="Q245" s="106"/>
      <c r="R245" s="106"/>
      <c r="S245" s="106"/>
      <c r="T245" s="106"/>
      <c r="U245" s="107"/>
      <c r="W245" s="35" t="str">
        <f>"-- "&amp;C245</f>
        <v>-- バックアップ_経過記録情報モジュール_アセスメントレコードテーブルから対象患者で絞り込んだ結果をベース_経過記録情報モジュール_アセスメントレコードテーブルに格納する。</v>
      </c>
    </row>
    <row r="247" spans="2:23" ht="18.75" customHeight="1">
      <c r="C247" s="118" t="s">
        <v>3825</v>
      </c>
      <c r="D247" s="119"/>
      <c r="E247" s="100" t="s">
        <v>3838</v>
      </c>
      <c r="H247" s="36"/>
      <c r="I247" s="36"/>
      <c r="J247" s="36"/>
      <c r="K247" s="36"/>
      <c r="L247" s="36"/>
      <c r="M247" s="36"/>
      <c r="N247" s="36"/>
      <c r="O247" s="36"/>
      <c r="P247" s="36"/>
      <c r="Q247" s="36"/>
      <c r="R247" s="118" t="str">
        <f>"ベース"&amp;SUBSTITUTE(C247,"バックアップ","")</f>
        <v>ベース_経過記録情報モジュール_アセスメントレコード</v>
      </c>
      <c r="S247" s="119"/>
      <c r="T247" s="100" t="s">
        <v>3838</v>
      </c>
    </row>
    <row r="248" spans="2:23" ht="18.75" customHeight="1">
      <c r="C248" s="120"/>
      <c r="D248" s="121"/>
      <c r="E248" s="101"/>
      <c r="F248" s="37"/>
      <c r="G248" s="38"/>
      <c r="H248" s="37"/>
      <c r="I248" s="37"/>
      <c r="J248" s="37"/>
      <c r="K248" s="37"/>
      <c r="L248" s="37"/>
      <c r="M248" s="37"/>
      <c r="N248" s="37"/>
      <c r="O248" s="37"/>
      <c r="P248" s="37"/>
      <c r="Q248" s="37"/>
      <c r="R248" s="120"/>
      <c r="S248" s="121"/>
      <c r="T248" s="101"/>
    </row>
    <row r="249" spans="2:23" ht="18.75" customHeight="1">
      <c r="F249" s="39"/>
      <c r="G249" s="40"/>
    </row>
    <row r="250" spans="2:23" ht="18.75" customHeight="1">
      <c r="C250" s="96" t="s">
        <v>3793</v>
      </c>
      <c r="D250" s="97"/>
      <c r="E250" s="100" t="s">
        <v>3838</v>
      </c>
      <c r="G250" s="41"/>
    </row>
    <row r="251" spans="2:23" ht="18.75" customHeight="1">
      <c r="C251" s="98"/>
      <c r="D251" s="99"/>
      <c r="E251" s="101"/>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3826</v>
      </c>
      <c r="D255" s="94"/>
      <c r="W255" s="35" t="str">
        <f>"-- "&amp;B255&amp;" : "&amp;C255</f>
        <v>-- SQL_ID : 31_C4-22</v>
      </c>
    </row>
    <row r="256" spans="2:23" ht="18.75" customHeight="1">
      <c r="B256" s="43" t="s">
        <v>158</v>
      </c>
      <c r="C256" s="102" t="str">
        <f>R259&amp;"登録"</f>
        <v>ベース_経過記録情報モジュール_外部参照レコード登録</v>
      </c>
      <c r="D256" s="103"/>
      <c r="E256" s="103"/>
      <c r="F256" s="103"/>
      <c r="G256" s="103"/>
      <c r="H256" s="103"/>
      <c r="I256" s="103"/>
      <c r="J256" s="103"/>
      <c r="K256" s="103"/>
      <c r="L256" s="103"/>
      <c r="M256" s="103"/>
      <c r="N256" s="103"/>
      <c r="O256" s="103"/>
      <c r="P256" s="103"/>
      <c r="Q256" s="103"/>
      <c r="R256" s="103"/>
      <c r="S256" s="103"/>
      <c r="T256" s="103"/>
      <c r="U256" s="104"/>
      <c r="W256" s="35" t="str">
        <f>"-- "&amp;C256</f>
        <v>-- ベース_経過記録情報モジュール_外部参照レコード登録</v>
      </c>
    </row>
    <row r="257" spans="2:23" ht="18.75" customHeight="1">
      <c r="B257" s="43" t="s">
        <v>159</v>
      </c>
      <c r="C257" s="105" t="str">
        <f>C259&amp;"テーブルから対象患者で絞り込んだ結果を"&amp;R259&amp;"テーブルに格納する。"</f>
        <v>バックアップ_経過記録情報モジュール_外部参照レコードテーブルから対象患者で絞り込んだ結果をベース_経過記録情報モジュール_外部参照レコードテーブルに格納する。</v>
      </c>
      <c r="D257" s="106"/>
      <c r="E257" s="106"/>
      <c r="F257" s="106"/>
      <c r="G257" s="106"/>
      <c r="H257" s="106"/>
      <c r="I257" s="106"/>
      <c r="J257" s="106"/>
      <c r="K257" s="106"/>
      <c r="L257" s="106"/>
      <c r="M257" s="106"/>
      <c r="N257" s="106"/>
      <c r="O257" s="106"/>
      <c r="P257" s="106"/>
      <c r="Q257" s="106"/>
      <c r="R257" s="106"/>
      <c r="S257" s="106"/>
      <c r="T257" s="106"/>
      <c r="U257" s="107"/>
      <c r="W257" s="35" t="str">
        <f>"-- "&amp;C257</f>
        <v>-- バックアップ_経過記録情報モジュール_外部参照レコードテーブルから対象患者で絞り込んだ結果をベース_経過記録情報モジュール_外部参照レコードテーブルに格納する。</v>
      </c>
    </row>
    <row r="259" spans="2:23" ht="18.75" customHeight="1">
      <c r="C259" s="118" t="s">
        <v>3827</v>
      </c>
      <c r="D259" s="119"/>
      <c r="E259" s="100" t="s">
        <v>3838</v>
      </c>
      <c r="H259" s="36"/>
      <c r="I259" s="36"/>
      <c r="J259" s="36"/>
      <c r="K259" s="36"/>
      <c r="L259" s="36"/>
      <c r="M259" s="36"/>
      <c r="N259" s="36"/>
      <c r="O259" s="36"/>
      <c r="P259" s="36"/>
      <c r="Q259" s="36"/>
      <c r="R259" s="118" t="str">
        <f>"ベース"&amp;SUBSTITUTE(C259,"バックアップ","")</f>
        <v>ベース_経過記録情報モジュール_外部参照レコード</v>
      </c>
      <c r="S259" s="119"/>
      <c r="T259" s="100" t="s">
        <v>3838</v>
      </c>
    </row>
    <row r="260" spans="2:23" ht="18.75" customHeight="1">
      <c r="C260" s="120"/>
      <c r="D260" s="121"/>
      <c r="E260" s="101"/>
      <c r="F260" s="37"/>
      <c r="G260" s="38"/>
      <c r="H260" s="37"/>
      <c r="I260" s="37"/>
      <c r="J260" s="37"/>
      <c r="K260" s="37"/>
      <c r="L260" s="37"/>
      <c r="M260" s="37"/>
      <c r="N260" s="37"/>
      <c r="O260" s="37"/>
      <c r="P260" s="37"/>
      <c r="Q260" s="37"/>
      <c r="R260" s="120"/>
      <c r="S260" s="121"/>
      <c r="T260" s="101"/>
    </row>
    <row r="261" spans="2:23" ht="18.75" customHeight="1">
      <c r="F261" s="39"/>
      <c r="G261" s="40"/>
    </row>
    <row r="262" spans="2:23" ht="18.75" customHeight="1">
      <c r="C262" s="96" t="s">
        <v>3793</v>
      </c>
      <c r="D262" s="97"/>
      <c r="E262" s="100" t="s">
        <v>3838</v>
      </c>
      <c r="G262" s="41"/>
    </row>
    <row r="263" spans="2:23" ht="18.75" customHeight="1">
      <c r="C263" s="98"/>
      <c r="D263" s="99"/>
      <c r="E263" s="101"/>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3828</v>
      </c>
      <c r="D267" s="94"/>
      <c r="W267" s="35" t="str">
        <f>"-- "&amp;B267&amp;" : "&amp;C267</f>
        <v>-- SQL_ID : 31_C4-23</v>
      </c>
    </row>
    <row r="268" spans="2:23" ht="18.75" customHeight="1">
      <c r="B268" s="43" t="s">
        <v>158</v>
      </c>
      <c r="C268" s="102" t="str">
        <f>R271&amp;"登録"</f>
        <v>ベース_臨床サマリーモジュール_臨床サマリー情報レコード登録</v>
      </c>
      <c r="D268" s="103"/>
      <c r="E268" s="103"/>
      <c r="F268" s="103"/>
      <c r="G268" s="103"/>
      <c r="H268" s="103"/>
      <c r="I268" s="103"/>
      <c r="J268" s="103"/>
      <c r="K268" s="103"/>
      <c r="L268" s="103"/>
      <c r="M268" s="103"/>
      <c r="N268" s="103"/>
      <c r="O268" s="103"/>
      <c r="P268" s="103"/>
      <c r="Q268" s="103"/>
      <c r="R268" s="103"/>
      <c r="S268" s="103"/>
      <c r="T268" s="103"/>
      <c r="U268" s="104"/>
      <c r="W268" s="35" t="str">
        <f>"-- "&amp;C268</f>
        <v>-- ベース_臨床サマリーモジュール_臨床サマリー情報レコード登録</v>
      </c>
    </row>
    <row r="269" spans="2:23" ht="18.75" customHeight="1">
      <c r="B269" s="43" t="s">
        <v>159</v>
      </c>
      <c r="C269" s="105" t="str">
        <f>C271&amp;"テーブルから対象患者で絞り込んだ結果を"&amp;R271&amp;"テーブルに格納する。"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269" s="106"/>
      <c r="E269" s="106"/>
      <c r="F269" s="106"/>
      <c r="G269" s="106"/>
      <c r="H269" s="106"/>
      <c r="I269" s="106"/>
      <c r="J269" s="106"/>
      <c r="K269" s="106"/>
      <c r="L269" s="106"/>
      <c r="M269" s="106"/>
      <c r="N269" s="106"/>
      <c r="O269" s="106"/>
      <c r="P269" s="106"/>
      <c r="Q269" s="106"/>
      <c r="R269" s="106"/>
      <c r="S269" s="106"/>
      <c r="T269" s="106"/>
      <c r="U269" s="107"/>
      <c r="W269" s="35" t="str">
        <f>"-- "&amp;C269</f>
        <v>-- バックアップ_臨床サマリーモジュール_臨床サマリー情報レコードテーブルから対象患者で絞り込んだ結果をベース_臨床サマリーモジュール_臨床サマリー情報レコードテーブルに格納する。</v>
      </c>
    </row>
    <row r="271" spans="2:23" ht="18.75" customHeight="1">
      <c r="C271" s="110" t="s">
        <v>3829</v>
      </c>
      <c r="D271" s="111"/>
      <c r="E271" s="100" t="s">
        <v>3838</v>
      </c>
      <c r="H271" s="36"/>
      <c r="I271" s="36"/>
      <c r="J271" s="36"/>
      <c r="K271" s="36"/>
      <c r="L271" s="36"/>
      <c r="M271" s="36"/>
      <c r="N271" s="36"/>
      <c r="O271" s="36"/>
      <c r="P271" s="36"/>
      <c r="Q271" s="36"/>
      <c r="R271" s="118" t="str">
        <f>"ベース"&amp;SUBSTITUTE(C271,"バックアップ","")</f>
        <v>ベース_臨床サマリーモジュール_臨床サマリー情報レコード</v>
      </c>
      <c r="S271" s="119"/>
      <c r="T271" s="100" t="s">
        <v>3838</v>
      </c>
    </row>
    <row r="272" spans="2:23" ht="18.75" customHeight="1">
      <c r="C272" s="112"/>
      <c r="D272" s="113"/>
      <c r="E272" s="101"/>
      <c r="F272" s="37"/>
      <c r="G272" s="38"/>
      <c r="H272" s="37"/>
      <c r="I272" s="37"/>
      <c r="J272" s="37"/>
      <c r="K272" s="37"/>
      <c r="L272" s="37"/>
      <c r="M272" s="37"/>
      <c r="N272" s="37"/>
      <c r="O272" s="37"/>
      <c r="P272" s="37"/>
      <c r="Q272" s="37"/>
      <c r="R272" s="120"/>
      <c r="S272" s="121"/>
      <c r="T272" s="101"/>
    </row>
    <row r="273" spans="2:23" ht="18.75" customHeight="1">
      <c r="F273" s="39"/>
      <c r="G273" s="40"/>
    </row>
    <row r="274" spans="2:23" ht="18.75" customHeight="1">
      <c r="C274" s="96" t="s">
        <v>3793</v>
      </c>
      <c r="D274" s="97"/>
      <c r="E274" s="100" t="s">
        <v>3838</v>
      </c>
      <c r="G274" s="41"/>
    </row>
    <row r="275" spans="2:23" ht="18.75" customHeight="1">
      <c r="C275" s="98"/>
      <c r="D275" s="99"/>
      <c r="E275" s="101"/>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3830</v>
      </c>
      <c r="D279" s="95"/>
      <c r="W279" s="35" t="str">
        <f>"-- "&amp;B279&amp;" : "&amp;C279</f>
        <v>-- SQL_ID : 31_C4-24</v>
      </c>
    </row>
    <row r="280" spans="2:23" ht="18.75" customHeight="1">
      <c r="B280" s="43" t="s">
        <v>158</v>
      </c>
      <c r="C280" s="102" t="str">
        <f>R283&amp;"登録"</f>
        <v>ベース_臨床サマリーモジュール_外来受診レコード登録</v>
      </c>
      <c r="D280" s="103"/>
      <c r="E280" s="103"/>
      <c r="F280" s="103"/>
      <c r="G280" s="103"/>
      <c r="H280" s="103"/>
      <c r="I280" s="103"/>
      <c r="J280" s="103"/>
      <c r="K280" s="103"/>
      <c r="L280" s="103"/>
      <c r="M280" s="103"/>
      <c r="N280" s="103"/>
      <c r="O280" s="103"/>
      <c r="P280" s="103"/>
      <c r="Q280" s="103"/>
      <c r="R280" s="103"/>
      <c r="S280" s="103"/>
      <c r="T280" s="103"/>
      <c r="U280" s="104"/>
      <c r="W280" s="35" t="str">
        <f>"-- "&amp;C280</f>
        <v>-- ベース_臨床サマリーモジュール_外来受診レコード登録</v>
      </c>
    </row>
    <row r="281" spans="2:23" ht="18.75" customHeight="1">
      <c r="B281" s="43" t="s">
        <v>159</v>
      </c>
      <c r="C281" s="105" t="str">
        <f>C283&amp;"テーブルから対象患者で絞り込んだ結果を"&amp;R283&amp;"テーブルに格納する。"</f>
        <v>バックアップ_臨床サマリーモジュール_外来受診レコードテーブルから対象患者で絞り込んだ結果をベース_臨床サマリーモジュール_外来受診レコードテーブルに格納する。</v>
      </c>
      <c r="D281" s="106"/>
      <c r="E281" s="106"/>
      <c r="F281" s="106"/>
      <c r="G281" s="106"/>
      <c r="H281" s="106"/>
      <c r="I281" s="106"/>
      <c r="J281" s="106"/>
      <c r="K281" s="106"/>
      <c r="L281" s="106"/>
      <c r="M281" s="106"/>
      <c r="N281" s="106"/>
      <c r="O281" s="106"/>
      <c r="P281" s="106"/>
      <c r="Q281" s="106"/>
      <c r="R281" s="106"/>
      <c r="S281" s="106"/>
      <c r="T281" s="106"/>
      <c r="U281" s="107"/>
      <c r="W281" s="35" t="str">
        <f>"-- "&amp;C281</f>
        <v>-- バックアップ_臨床サマリーモジュール_外来受診レコードテーブルから対象患者で絞り込んだ結果をベース_臨床サマリーモジュール_外来受診レコードテーブルに格納する。</v>
      </c>
    </row>
    <row r="283" spans="2:23" ht="18.75" customHeight="1">
      <c r="C283" s="110" t="s">
        <v>1520</v>
      </c>
      <c r="D283" s="111"/>
      <c r="E283" s="100" t="s">
        <v>3838</v>
      </c>
      <c r="H283" s="36"/>
      <c r="I283" s="36"/>
      <c r="J283" s="36"/>
      <c r="K283" s="36"/>
      <c r="L283" s="36"/>
      <c r="M283" s="36"/>
      <c r="N283" s="36"/>
      <c r="O283" s="36"/>
      <c r="P283" s="36"/>
      <c r="Q283" s="36"/>
      <c r="R283" s="118" t="str">
        <f>"ベース"&amp;SUBSTITUTE(C283,"バックアップ","")</f>
        <v>ベース_臨床サマリーモジュール_外来受診レコード</v>
      </c>
      <c r="S283" s="119"/>
      <c r="T283" s="100" t="s">
        <v>3838</v>
      </c>
    </row>
    <row r="284" spans="2:23" ht="18.75" customHeight="1">
      <c r="C284" s="112"/>
      <c r="D284" s="113"/>
      <c r="E284" s="101"/>
      <c r="F284" s="37"/>
      <c r="G284" s="38"/>
      <c r="H284" s="37"/>
      <c r="I284" s="37"/>
      <c r="J284" s="37"/>
      <c r="K284" s="37"/>
      <c r="L284" s="37"/>
      <c r="M284" s="37"/>
      <c r="N284" s="37"/>
      <c r="O284" s="37"/>
      <c r="P284" s="37"/>
      <c r="Q284" s="37"/>
      <c r="R284" s="120"/>
      <c r="S284" s="121"/>
      <c r="T284" s="101"/>
    </row>
    <row r="285" spans="2:23" ht="18.75" customHeight="1">
      <c r="F285" s="39"/>
      <c r="G285" s="40"/>
    </row>
    <row r="286" spans="2:23" ht="18.75" customHeight="1">
      <c r="C286" s="96" t="s">
        <v>3793</v>
      </c>
      <c r="D286" s="97"/>
      <c r="E286" s="100" t="s">
        <v>3838</v>
      </c>
      <c r="G286" s="41"/>
    </row>
    <row r="287" spans="2:23" ht="18.75" customHeight="1">
      <c r="C287" s="98"/>
      <c r="D287" s="99"/>
      <c r="E287" s="101"/>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3831</v>
      </c>
      <c r="D291" s="95"/>
      <c r="W291" s="35" t="str">
        <f>"-- "&amp;B291&amp;" : "&amp;C291</f>
        <v>-- SQL_ID : 31_C4-25</v>
      </c>
    </row>
    <row r="292" spans="2:23" ht="18.75" customHeight="1">
      <c r="B292" s="43" t="s">
        <v>158</v>
      </c>
      <c r="C292" s="102" t="str">
        <f>R295&amp;"登録"</f>
        <v>ベース_臨床サマリーモジュール_入院レコード登録</v>
      </c>
      <c r="D292" s="103"/>
      <c r="E292" s="103"/>
      <c r="F292" s="103"/>
      <c r="G292" s="103"/>
      <c r="H292" s="103"/>
      <c r="I292" s="103"/>
      <c r="J292" s="103"/>
      <c r="K292" s="103"/>
      <c r="L292" s="103"/>
      <c r="M292" s="103"/>
      <c r="N292" s="103"/>
      <c r="O292" s="103"/>
      <c r="P292" s="103"/>
      <c r="Q292" s="103"/>
      <c r="R292" s="103"/>
      <c r="S292" s="103"/>
      <c r="T292" s="103"/>
      <c r="U292" s="104"/>
      <c r="W292" s="35" t="str">
        <f>"-- "&amp;C292</f>
        <v>-- ベース_臨床サマリーモジュール_入院レコード登録</v>
      </c>
    </row>
    <row r="293" spans="2:23" ht="18.75" customHeight="1">
      <c r="B293" s="43" t="s">
        <v>159</v>
      </c>
      <c r="C293" s="105" t="str">
        <f>C295&amp;"テーブルから対象患者で絞り込んだ結果を"&amp;R295&amp;"テーブルに格納する。"</f>
        <v>バックアップ_臨床サマリーモジュール_入院レコードテーブルから対象患者で絞り込んだ結果をベース_臨床サマリーモジュール_入院レコードテーブルに格納する。</v>
      </c>
      <c r="D293" s="106"/>
      <c r="E293" s="106"/>
      <c r="F293" s="106"/>
      <c r="G293" s="106"/>
      <c r="H293" s="106"/>
      <c r="I293" s="106"/>
      <c r="J293" s="106"/>
      <c r="K293" s="106"/>
      <c r="L293" s="106"/>
      <c r="M293" s="106"/>
      <c r="N293" s="106"/>
      <c r="O293" s="106"/>
      <c r="P293" s="106"/>
      <c r="Q293" s="106"/>
      <c r="R293" s="106"/>
      <c r="S293" s="106"/>
      <c r="T293" s="106"/>
      <c r="U293" s="107"/>
      <c r="W293" s="35" t="str">
        <f>"-- "&amp;C293</f>
        <v>-- バックアップ_臨床サマリーモジュール_入院レコードテーブルから対象患者で絞り込んだ結果をベース_臨床サマリーモジュール_入院レコードテーブルに格納する。</v>
      </c>
    </row>
    <row r="295" spans="2:23" ht="18.75" customHeight="1">
      <c r="C295" s="110" t="s">
        <v>1537</v>
      </c>
      <c r="D295" s="111"/>
      <c r="E295" s="100" t="s">
        <v>3838</v>
      </c>
      <c r="H295" s="36"/>
      <c r="I295" s="36"/>
      <c r="J295" s="36"/>
      <c r="K295" s="36"/>
      <c r="L295" s="36"/>
      <c r="M295" s="36"/>
      <c r="N295" s="36"/>
      <c r="O295" s="36"/>
      <c r="P295" s="36"/>
      <c r="Q295" s="36"/>
      <c r="R295" s="118" t="str">
        <f>"ベース"&amp;SUBSTITUTE(C295,"バックアップ","")</f>
        <v>ベース_臨床サマリーモジュール_入院レコード</v>
      </c>
      <c r="S295" s="119"/>
      <c r="T295" s="100" t="s">
        <v>3838</v>
      </c>
    </row>
    <row r="296" spans="2:23" ht="18.75" customHeight="1">
      <c r="C296" s="112"/>
      <c r="D296" s="113"/>
      <c r="E296" s="101"/>
      <c r="F296" s="37"/>
      <c r="G296" s="38"/>
      <c r="H296" s="37"/>
      <c r="I296" s="37"/>
      <c r="J296" s="37"/>
      <c r="K296" s="37"/>
      <c r="L296" s="37"/>
      <c r="M296" s="37"/>
      <c r="N296" s="37"/>
      <c r="O296" s="37"/>
      <c r="P296" s="37"/>
      <c r="Q296" s="37"/>
      <c r="R296" s="120"/>
      <c r="S296" s="121"/>
      <c r="T296" s="101"/>
    </row>
    <row r="297" spans="2:23" ht="18.75" customHeight="1">
      <c r="F297" s="39"/>
      <c r="G297" s="40"/>
    </row>
    <row r="298" spans="2:23" ht="18.75" customHeight="1">
      <c r="C298" s="96" t="s">
        <v>3793</v>
      </c>
      <c r="D298" s="97"/>
      <c r="E298" s="100" t="s">
        <v>3838</v>
      </c>
      <c r="G298" s="41"/>
    </row>
    <row r="299" spans="2:23" ht="18.75" customHeight="1">
      <c r="C299" s="98"/>
      <c r="D299" s="99"/>
      <c r="E299" s="101"/>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3832</v>
      </c>
      <c r="D303" s="95"/>
      <c r="W303" s="35" t="str">
        <f>"-- "&amp;B303&amp;" : "&amp;C303</f>
        <v>-- SQL_ID : 31_C4-29</v>
      </c>
    </row>
    <row r="304" spans="2:23" ht="18.75" customHeight="1">
      <c r="B304" s="43" t="s">
        <v>158</v>
      </c>
      <c r="C304" s="102" t="str">
        <f>R307&amp;"登録"</f>
        <v>ベース_臨床サマリーモジュール_経過記録レコード登録</v>
      </c>
      <c r="D304" s="103"/>
      <c r="E304" s="103"/>
      <c r="F304" s="103"/>
      <c r="G304" s="103"/>
      <c r="H304" s="103"/>
      <c r="I304" s="103"/>
      <c r="J304" s="103"/>
      <c r="K304" s="103"/>
      <c r="L304" s="103"/>
      <c r="M304" s="103"/>
      <c r="N304" s="103"/>
      <c r="O304" s="103"/>
      <c r="P304" s="103"/>
      <c r="Q304" s="103"/>
      <c r="R304" s="103"/>
      <c r="S304" s="103"/>
      <c r="T304" s="103"/>
      <c r="U304" s="104"/>
      <c r="W304" s="35" t="str">
        <f>"-- "&amp;C304</f>
        <v>-- ベース_臨床サマリーモジュール_経過記録レコード登録</v>
      </c>
    </row>
    <row r="305" spans="2:23" ht="18.75" customHeight="1">
      <c r="B305" s="43" t="s">
        <v>159</v>
      </c>
      <c r="C305" s="105" t="str">
        <f>C307&amp;"テーブルから対象患者で絞り込んだ結果を"&amp;R307&amp;"テーブルに格納する。"</f>
        <v>バックアップ_臨床サマリーモジュール_経過記録レコードテーブルから対象患者で絞り込んだ結果をベース_臨床サマリーモジュール_経過記録レコードテーブルに格納する。</v>
      </c>
      <c r="D305" s="106"/>
      <c r="E305" s="106"/>
      <c r="F305" s="106"/>
      <c r="G305" s="106"/>
      <c r="H305" s="106"/>
      <c r="I305" s="106"/>
      <c r="J305" s="106"/>
      <c r="K305" s="106"/>
      <c r="L305" s="106"/>
      <c r="M305" s="106"/>
      <c r="N305" s="106"/>
      <c r="O305" s="106"/>
      <c r="P305" s="106"/>
      <c r="Q305" s="106"/>
      <c r="R305" s="106"/>
      <c r="S305" s="106"/>
      <c r="T305" s="106"/>
      <c r="U305" s="107"/>
      <c r="W305" s="35" t="str">
        <f>"-- "&amp;C305</f>
        <v>-- バックアップ_臨床サマリーモジュール_経過記録レコードテーブルから対象患者で絞り込んだ結果をベース_臨床サマリーモジュール_経過記録レコードテーブルに格納する。</v>
      </c>
    </row>
    <row r="307" spans="2:23" ht="18.75" customHeight="1">
      <c r="C307" s="110" t="s">
        <v>1563</v>
      </c>
      <c r="D307" s="111"/>
      <c r="E307" s="100" t="s">
        <v>3838</v>
      </c>
      <c r="H307" s="36"/>
      <c r="I307" s="36"/>
      <c r="J307" s="36"/>
      <c r="K307" s="36"/>
      <c r="L307" s="36"/>
      <c r="M307" s="36"/>
      <c r="N307" s="36"/>
      <c r="O307" s="36"/>
      <c r="P307" s="36"/>
      <c r="Q307" s="36"/>
      <c r="R307" s="118" t="str">
        <f>"ベース"&amp;SUBSTITUTE(C307,"バックアップ","")</f>
        <v>ベース_臨床サマリーモジュール_経過記録レコード</v>
      </c>
      <c r="S307" s="119"/>
      <c r="T307" s="100" t="s">
        <v>3838</v>
      </c>
    </row>
    <row r="308" spans="2:23" ht="18.75" customHeight="1">
      <c r="C308" s="112"/>
      <c r="D308" s="113"/>
      <c r="E308" s="101"/>
      <c r="F308" s="37"/>
      <c r="G308" s="38"/>
      <c r="H308" s="37"/>
      <c r="I308" s="37"/>
      <c r="J308" s="37"/>
      <c r="K308" s="37"/>
      <c r="L308" s="37"/>
      <c r="M308" s="37"/>
      <c r="N308" s="37"/>
      <c r="O308" s="37"/>
      <c r="P308" s="37"/>
      <c r="Q308" s="37"/>
      <c r="R308" s="120"/>
      <c r="S308" s="121"/>
      <c r="T308" s="101"/>
    </row>
    <row r="309" spans="2:23" ht="18.75" customHeight="1">
      <c r="F309" s="39"/>
      <c r="G309" s="40"/>
    </row>
    <row r="310" spans="2:23" ht="18.75" customHeight="1">
      <c r="C310" s="96" t="s">
        <v>3793</v>
      </c>
      <c r="D310" s="97"/>
      <c r="E310" s="100" t="s">
        <v>3838</v>
      </c>
      <c r="G310" s="41"/>
    </row>
    <row r="311" spans="2:23" ht="18.75" customHeight="1">
      <c r="C311" s="98"/>
      <c r="D311" s="99"/>
      <c r="E311" s="101"/>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3833</v>
      </c>
      <c r="D315" s="95"/>
      <c r="W315" s="35" t="str">
        <f>"-- "&amp;B315&amp;" : "&amp;C315</f>
        <v>-- SQL_ID : 31_C4-30</v>
      </c>
    </row>
    <row r="316" spans="2:23" ht="18.75" customHeight="1">
      <c r="B316" s="43" t="s">
        <v>158</v>
      </c>
      <c r="C316" s="102" t="str">
        <f>R319&amp;"登録"</f>
        <v>ベース_臨床サマリーモジュール_検査結果レコード登録</v>
      </c>
      <c r="D316" s="103"/>
      <c r="E316" s="103"/>
      <c r="F316" s="103"/>
      <c r="G316" s="103"/>
      <c r="H316" s="103"/>
      <c r="I316" s="103"/>
      <c r="J316" s="103"/>
      <c r="K316" s="103"/>
      <c r="L316" s="103"/>
      <c r="M316" s="103"/>
      <c r="N316" s="103"/>
      <c r="O316" s="103"/>
      <c r="P316" s="103"/>
      <c r="Q316" s="103"/>
      <c r="R316" s="103"/>
      <c r="S316" s="103"/>
      <c r="T316" s="103"/>
      <c r="U316" s="104"/>
      <c r="W316" s="35" t="str">
        <f>"-- "&amp;C316</f>
        <v>-- ベース_臨床サマリーモジュール_検査結果レコード登録</v>
      </c>
    </row>
    <row r="317" spans="2:23" ht="18.75" customHeight="1">
      <c r="B317" s="43" t="s">
        <v>159</v>
      </c>
      <c r="C317" s="105" t="str">
        <f>C319&amp;"テーブルから対象患者で絞り込んだ結果を"&amp;R319&amp;"テーブルに格納する。"</f>
        <v>バックアップ_臨床サマリーモジュール_検査結果レコードテーブルから対象患者で絞り込んだ結果をベース_臨床サマリーモジュール_検査結果レコードテーブルに格納する。</v>
      </c>
      <c r="D317" s="106"/>
      <c r="E317" s="106"/>
      <c r="F317" s="106"/>
      <c r="G317" s="106"/>
      <c r="H317" s="106"/>
      <c r="I317" s="106"/>
      <c r="J317" s="106"/>
      <c r="K317" s="106"/>
      <c r="L317" s="106"/>
      <c r="M317" s="106"/>
      <c r="N317" s="106"/>
      <c r="O317" s="106"/>
      <c r="P317" s="106"/>
      <c r="Q317" s="106"/>
      <c r="R317" s="106"/>
      <c r="S317" s="106"/>
      <c r="T317" s="106"/>
      <c r="U317" s="107"/>
      <c r="W317" s="35" t="str">
        <f>"-- "&amp;C317</f>
        <v>-- バックアップ_臨床サマリーモジュール_検査結果レコードテーブルから対象患者で絞り込んだ結果をベース_臨床サマリーモジュール_検査結果レコードテーブルに格納する。</v>
      </c>
    </row>
    <row r="319" spans="2:23" ht="18.75" customHeight="1">
      <c r="C319" s="110" t="s">
        <v>1578</v>
      </c>
      <c r="D319" s="111"/>
      <c r="E319" s="100" t="s">
        <v>3838</v>
      </c>
      <c r="H319" s="36"/>
      <c r="I319" s="36"/>
      <c r="J319" s="36"/>
      <c r="K319" s="36"/>
      <c r="L319" s="36"/>
      <c r="M319" s="36"/>
      <c r="N319" s="36"/>
      <c r="O319" s="36"/>
      <c r="P319" s="36"/>
      <c r="Q319" s="36"/>
      <c r="R319" s="118" t="str">
        <f>"ベース"&amp;SUBSTITUTE(C319,"バックアップ","")</f>
        <v>ベース_臨床サマリーモジュール_検査結果レコード</v>
      </c>
      <c r="S319" s="119"/>
      <c r="T319" s="100" t="s">
        <v>3838</v>
      </c>
    </row>
    <row r="320" spans="2:23" ht="18.75" customHeight="1">
      <c r="C320" s="112"/>
      <c r="D320" s="113"/>
      <c r="E320" s="101"/>
      <c r="F320" s="37"/>
      <c r="G320" s="38"/>
      <c r="H320" s="37"/>
      <c r="I320" s="37"/>
      <c r="J320" s="37"/>
      <c r="K320" s="37"/>
      <c r="L320" s="37"/>
      <c r="M320" s="37"/>
      <c r="N320" s="37"/>
      <c r="O320" s="37"/>
      <c r="P320" s="37"/>
      <c r="Q320" s="37"/>
      <c r="R320" s="120"/>
      <c r="S320" s="121"/>
      <c r="T320" s="101"/>
    </row>
    <row r="321" spans="2:23" ht="18.75" customHeight="1">
      <c r="F321" s="39"/>
      <c r="G321" s="40"/>
    </row>
    <row r="322" spans="2:23" ht="18.75" customHeight="1">
      <c r="C322" s="96" t="s">
        <v>3793</v>
      </c>
      <c r="D322" s="97"/>
      <c r="E322" s="100" t="s">
        <v>3838</v>
      </c>
      <c r="G322" s="41"/>
    </row>
    <row r="323" spans="2:23" ht="18.75" customHeight="1">
      <c r="C323" s="98"/>
      <c r="D323" s="99"/>
      <c r="E323" s="101"/>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3834</v>
      </c>
      <c r="D327" s="95"/>
      <c r="W327" s="35" t="str">
        <f>"-- "&amp;B327&amp;" : "&amp;C327</f>
        <v>-- SQL_ID : 31_C4-31</v>
      </c>
    </row>
    <row r="328" spans="2:23" ht="18.75" customHeight="1">
      <c r="B328" s="43" t="s">
        <v>158</v>
      </c>
      <c r="C328" s="102" t="str">
        <f>R331&amp;"登録"</f>
        <v>ベース_検歴情報モジュール_検歴情報登録</v>
      </c>
      <c r="D328" s="103"/>
      <c r="E328" s="103"/>
      <c r="F328" s="103"/>
      <c r="G328" s="103"/>
      <c r="H328" s="103"/>
      <c r="I328" s="103"/>
      <c r="J328" s="103"/>
      <c r="K328" s="103"/>
      <c r="L328" s="103"/>
      <c r="M328" s="103"/>
      <c r="N328" s="103"/>
      <c r="O328" s="103"/>
      <c r="P328" s="103"/>
      <c r="Q328" s="103"/>
      <c r="R328" s="103"/>
      <c r="S328" s="103"/>
      <c r="T328" s="103"/>
      <c r="U328" s="104"/>
      <c r="W328" s="35" t="str">
        <f>"-- "&amp;C328</f>
        <v>-- ベース_検歴情報モジュール_検歴情報登録</v>
      </c>
    </row>
    <row r="329" spans="2:23" ht="18.75" customHeight="1">
      <c r="B329" s="43" t="s">
        <v>159</v>
      </c>
      <c r="C329" s="105" t="str">
        <f>C331&amp;"テーブルから対象患者で絞り込んだ結果を"&amp;R331&amp;"テーブルに格納する。"</f>
        <v>バックアップ_検歴情報モジュール_検歴情報テーブルから対象患者で絞り込んだ結果をベース_検歴情報モジュール_検歴情報テーブルに格納する。</v>
      </c>
      <c r="D329" s="106"/>
      <c r="E329" s="106"/>
      <c r="F329" s="106"/>
      <c r="G329" s="106"/>
      <c r="H329" s="106"/>
      <c r="I329" s="106"/>
      <c r="J329" s="106"/>
      <c r="K329" s="106"/>
      <c r="L329" s="106"/>
      <c r="M329" s="106"/>
      <c r="N329" s="106"/>
      <c r="O329" s="106"/>
      <c r="P329" s="106"/>
      <c r="Q329" s="106"/>
      <c r="R329" s="106"/>
      <c r="S329" s="106"/>
      <c r="T329" s="106"/>
      <c r="U329" s="107"/>
      <c r="W329" s="35" t="str">
        <f>"-- "&amp;C329</f>
        <v>-- バックアップ_検歴情報モジュール_検歴情報テーブルから対象患者で絞り込んだ結果をベース_検歴情報モジュール_検歴情報テーブルに格納する。</v>
      </c>
    </row>
    <row r="331" spans="2:23" ht="18.75" customHeight="1">
      <c r="C331" s="110" t="s">
        <v>1588</v>
      </c>
      <c r="D331" s="111"/>
      <c r="E331" s="100" t="s">
        <v>3838</v>
      </c>
      <c r="H331" s="36"/>
      <c r="I331" s="36"/>
      <c r="J331" s="36"/>
      <c r="K331" s="36"/>
      <c r="L331" s="36"/>
      <c r="M331" s="36"/>
      <c r="N331" s="36"/>
      <c r="O331" s="36"/>
      <c r="P331" s="36"/>
      <c r="Q331" s="36"/>
      <c r="R331" s="118" t="str">
        <f>"ベース"&amp;SUBSTITUTE(C331,"バックアップ","")</f>
        <v>ベース_検歴情報モジュール_検歴情報</v>
      </c>
      <c r="S331" s="119"/>
      <c r="T331" s="100" t="s">
        <v>3838</v>
      </c>
    </row>
    <row r="332" spans="2:23" ht="18.75" customHeight="1">
      <c r="C332" s="112"/>
      <c r="D332" s="113"/>
      <c r="E332" s="101"/>
      <c r="F332" s="37"/>
      <c r="G332" s="38"/>
      <c r="H332" s="37"/>
      <c r="I332" s="37"/>
      <c r="J332" s="37"/>
      <c r="K332" s="37"/>
      <c r="L332" s="37"/>
      <c r="M332" s="37"/>
      <c r="N332" s="37"/>
      <c r="O332" s="37"/>
      <c r="P332" s="37"/>
      <c r="Q332" s="37"/>
      <c r="R332" s="120"/>
      <c r="S332" s="121"/>
      <c r="T332" s="101"/>
    </row>
    <row r="333" spans="2:23" ht="18.75" customHeight="1">
      <c r="F333" s="39"/>
      <c r="G333" s="40"/>
    </row>
    <row r="334" spans="2:23" ht="18.75" customHeight="1">
      <c r="C334" s="96" t="s">
        <v>3793</v>
      </c>
      <c r="D334" s="97"/>
      <c r="E334" s="100" t="s">
        <v>3838</v>
      </c>
      <c r="G334" s="41"/>
    </row>
    <row r="335" spans="2:23" ht="18.75" customHeight="1">
      <c r="C335" s="98"/>
      <c r="D335" s="99"/>
      <c r="E335" s="101"/>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3835</v>
      </c>
      <c r="D339" s="95"/>
      <c r="W339" s="35" t="str">
        <f>"-- "&amp;B339&amp;" : "&amp;C339</f>
        <v>-- SQL_ID : 31_C4-33</v>
      </c>
    </row>
    <row r="340" spans="2:23" ht="18.75" customHeight="1">
      <c r="B340" s="43" t="s">
        <v>158</v>
      </c>
      <c r="C340" s="102" t="str">
        <f>R343&amp;"登録"</f>
        <v>ベース_検歴情報モジュール_検歴検体材料登録</v>
      </c>
      <c r="D340" s="103"/>
      <c r="E340" s="103"/>
      <c r="F340" s="103"/>
      <c r="G340" s="103"/>
      <c r="H340" s="103"/>
      <c r="I340" s="103"/>
      <c r="J340" s="103"/>
      <c r="K340" s="103"/>
      <c r="L340" s="103"/>
      <c r="M340" s="103"/>
      <c r="N340" s="103"/>
      <c r="O340" s="103"/>
      <c r="P340" s="103"/>
      <c r="Q340" s="103"/>
      <c r="R340" s="103"/>
      <c r="S340" s="103"/>
      <c r="T340" s="103"/>
      <c r="U340" s="104"/>
      <c r="W340" s="35" t="str">
        <f>"-- "&amp;C340</f>
        <v>-- ベース_検歴情報モジュール_検歴検体材料登録</v>
      </c>
    </row>
    <row r="341" spans="2:23" ht="18.75" customHeight="1">
      <c r="B341" s="43" t="s">
        <v>159</v>
      </c>
      <c r="C341" s="105" t="str">
        <f>C343&amp;"テーブルから対象患者で絞り込んだ結果を"&amp;R343&amp;"テーブルに格納する。"</f>
        <v>バックアップ_検歴情報モジュール_検歴検体材料テーブルから対象患者で絞り込んだ結果をベース_検歴情報モジュール_検歴検体材料テーブルに格納する。</v>
      </c>
      <c r="D341" s="106"/>
      <c r="E341" s="106"/>
      <c r="F341" s="106"/>
      <c r="G341" s="106"/>
      <c r="H341" s="106"/>
      <c r="I341" s="106"/>
      <c r="J341" s="106"/>
      <c r="K341" s="106"/>
      <c r="L341" s="106"/>
      <c r="M341" s="106"/>
      <c r="N341" s="106"/>
      <c r="O341" s="106"/>
      <c r="P341" s="106"/>
      <c r="Q341" s="106"/>
      <c r="R341" s="106"/>
      <c r="S341" s="106"/>
      <c r="T341" s="106"/>
      <c r="U341" s="107"/>
      <c r="W341" s="35" t="str">
        <f>"-- "&amp;C341</f>
        <v>-- バックアップ_検歴情報モジュール_検歴検体材料テーブルから対象患者で絞り込んだ結果をベース_検歴情報モジュール_検歴検体材料テーブルに格納する。</v>
      </c>
    </row>
    <row r="343" spans="2:23" ht="18.75" customHeight="1">
      <c r="C343" s="110" t="s">
        <v>1646</v>
      </c>
      <c r="D343" s="111"/>
      <c r="E343" s="100" t="s">
        <v>3838</v>
      </c>
      <c r="H343" s="36"/>
      <c r="I343" s="36"/>
      <c r="J343" s="36"/>
      <c r="K343" s="36"/>
      <c r="L343" s="36"/>
      <c r="M343" s="36"/>
      <c r="N343" s="36"/>
      <c r="O343" s="36"/>
      <c r="P343" s="36"/>
      <c r="Q343" s="36"/>
      <c r="R343" s="118" t="str">
        <f>"ベース"&amp;SUBSTITUTE(C343,"バックアップ","")</f>
        <v>ベース_検歴情報モジュール_検歴検体材料</v>
      </c>
      <c r="S343" s="119"/>
      <c r="T343" s="100" t="s">
        <v>3838</v>
      </c>
    </row>
    <row r="344" spans="2:23" ht="18.75" customHeight="1">
      <c r="C344" s="112"/>
      <c r="D344" s="113"/>
      <c r="E344" s="101"/>
      <c r="F344" s="37"/>
      <c r="G344" s="38"/>
      <c r="H344" s="37"/>
      <c r="I344" s="37"/>
      <c r="J344" s="37"/>
      <c r="K344" s="37"/>
      <c r="L344" s="37"/>
      <c r="M344" s="37"/>
      <c r="N344" s="37"/>
      <c r="O344" s="37"/>
      <c r="P344" s="37"/>
      <c r="Q344" s="37"/>
      <c r="R344" s="120"/>
      <c r="S344" s="121"/>
      <c r="T344" s="101"/>
    </row>
    <row r="345" spans="2:23" ht="18.75" customHeight="1">
      <c r="F345" s="39"/>
      <c r="G345" s="40"/>
    </row>
    <row r="346" spans="2:23" ht="18.75" customHeight="1">
      <c r="C346" s="96" t="s">
        <v>3793</v>
      </c>
      <c r="D346" s="97"/>
      <c r="E346" s="100" t="s">
        <v>3838</v>
      </c>
      <c r="G346" s="41"/>
    </row>
    <row r="347" spans="2:23" ht="18.75" customHeight="1">
      <c r="C347" s="98"/>
      <c r="D347" s="99"/>
      <c r="E347" s="101"/>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3836</v>
      </c>
      <c r="D351" s="95"/>
      <c r="W351" s="35" t="str">
        <f>"-- "&amp;B351&amp;" : "&amp;C351</f>
        <v>-- SQL_ID : 31_C4-35</v>
      </c>
    </row>
    <row r="352" spans="2:23" ht="18.75" customHeight="1">
      <c r="B352" s="43" t="s">
        <v>158</v>
      </c>
      <c r="C352" s="102" t="str">
        <f>R355&amp;"登録"</f>
        <v>ベース_検歴情報モジュール_検歴項目情報登録</v>
      </c>
      <c r="D352" s="103"/>
      <c r="E352" s="103"/>
      <c r="F352" s="103"/>
      <c r="G352" s="103"/>
      <c r="H352" s="103"/>
      <c r="I352" s="103"/>
      <c r="J352" s="103"/>
      <c r="K352" s="103"/>
      <c r="L352" s="103"/>
      <c r="M352" s="103"/>
      <c r="N352" s="103"/>
      <c r="O352" s="103"/>
      <c r="P352" s="103"/>
      <c r="Q352" s="103"/>
      <c r="R352" s="103"/>
      <c r="S352" s="103"/>
      <c r="T352" s="103"/>
      <c r="U352" s="104"/>
      <c r="W352" s="35" t="str">
        <f>"-- "&amp;C352</f>
        <v>-- ベース_検歴情報モジュール_検歴項目情報登録</v>
      </c>
    </row>
    <row r="353" spans="2:23" ht="18.75" customHeight="1">
      <c r="B353" s="43" t="s">
        <v>159</v>
      </c>
      <c r="C353" s="105" t="str">
        <f>C355&amp;"テーブルから対象患者で絞り込んだ結果を"&amp;R355&amp;"テーブルに格納する。"</f>
        <v>バックアップ_検歴情報モジュール_検歴項目情報テーブルから対象患者で絞り込んだ結果をベース_検歴情報モジュール_検歴項目情報テーブルに格納する。</v>
      </c>
      <c r="D353" s="106"/>
      <c r="E353" s="106"/>
      <c r="F353" s="106"/>
      <c r="G353" s="106"/>
      <c r="H353" s="106"/>
      <c r="I353" s="106"/>
      <c r="J353" s="106"/>
      <c r="K353" s="106"/>
      <c r="L353" s="106"/>
      <c r="M353" s="106"/>
      <c r="N353" s="106"/>
      <c r="O353" s="106"/>
      <c r="P353" s="106"/>
      <c r="Q353" s="106"/>
      <c r="R353" s="106"/>
      <c r="S353" s="106"/>
      <c r="T353" s="106"/>
      <c r="U353" s="107"/>
      <c r="W353" s="35" t="str">
        <f>"-- "&amp;C353</f>
        <v>-- バックアップ_検歴情報モジュール_検歴項目情報テーブルから対象患者で絞り込んだ結果をベース_検歴情報モジュール_検歴項目情報テーブルに格納する。</v>
      </c>
    </row>
    <row r="355" spans="2:23" ht="18.75" customHeight="1">
      <c r="C355" s="110" t="s">
        <v>1665</v>
      </c>
      <c r="D355" s="111"/>
      <c r="E355" s="100" t="s">
        <v>3838</v>
      </c>
      <c r="H355" s="36"/>
      <c r="I355" s="36"/>
      <c r="J355" s="36"/>
      <c r="K355" s="36"/>
      <c r="L355" s="36"/>
      <c r="M355" s="36"/>
      <c r="N355" s="36"/>
      <c r="O355" s="36"/>
      <c r="P355" s="36"/>
      <c r="Q355" s="36"/>
      <c r="R355" s="118" t="str">
        <f>"ベース"&amp;SUBSTITUTE(C355,"バックアップ","")</f>
        <v>ベース_検歴情報モジュール_検歴項目情報</v>
      </c>
      <c r="S355" s="119"/>
      <c r="T355" s="100" t="s">
        <v>3838</v>
      </c>
    </row>
    <row r="356" spans="2:23" ht="18.75" customHeight="1">
      <c r="C356" s="112"/>
      <c r="D356" s="113"/>
      <c r="E356" s="101"/>
      <c r="F356" s="37"/>
      <c r="G356" s="38"/>
      <c r="H356" s="37"/>
      <c r="I356" s="37"/>
      <c r="J356" s="37"/>
      <c r="K356" s="37"/>
      <c r="L356" s="37"/>
      <c r="M356" s="37"/>
      <c r="N356" s="37"/>
      <c r="O356" s="37"/>
      <c r="P356" s="37"/>
      <c r="Q356" s="37"/>
      <c r="R356" s="120"/>
      <c r="S356" s="121"/>
      <c r="T356" s="101"/>
    </row>
    <row r="357" spans="2:23" ht="18.75" customHeight="1">
      <c r="F357" s="39"/>
      <c r="G357" s="40"/>
    </row>
    <row r="358" spans="2:23" ht="18.75" customHeight="1">
      <c r="C358" s="96" t="s">
        <v>3793</v>
      </c>
      <c r="D358" s="97"/>
      <c r="E358" s="100" t="s">
        <v>3838</v>
      </c>
      <c r="G358" s="41"/>
    </row>
    <row r="359" spans="2:23" ht="18.75" customHeight="1">
      <c r="C359" s="98"/>
      <c r="D359" s="99"/>
      <c r="E359" s="101"/>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sheetData>
  <mergeCells count="240">
    <mergeCell ref="C274:D275"/>
    <mergeCell ref="E274:E275"/>
    <mergeCell ref="C262:D263"/>
    <mergeCell ref="E262:E263"/>
    <mergeCell ref="C268:U268"/>
    <mergeCell ref="C269:U269"/>
    <mergeCell ref="C271:D272"/>
    <mergeCell ref="E271:E272"/>
    <mergeCell ref="R271:S272"/>
    <mergeCell ref="T271:T272"/>
    <mergeCell ref="C250:D251"/>
    <mergeCell ref="E250:E251"/>
    <mergeCell ref="C256:U256"/>
    <mergeCell ref="C257:U257"/>
    <mergeCell ref="C259:D260"/>
    <mergeCell ref="E259:E260"/>
    <mergeCell ref="R259:S260"/>
    <mergeCell ref="T259:T260"/>
    <mergeCell ref="C238:D239"/>
    <mergeCell ref="E238:E239"/>
    <mergeCell ref="C244:U244"/>
    <mergeCell ref="C245:U245"/>
    <mergeCell ref="C247:D248"/>
    <mergeCell ref="E247:E248"/>
    <mergeCell ref="R247:S248"/>
    <mergeCell ref="T247:T248"/>
    <mergeCell ref="C226:D227"/>
    <mergeCell ref="E226:E227"/>
    <mergeCell ref="C232:U232"/>
    <mergeCell ref="C233:U233"/>
    <mergeCell ref="C235:D236"/>
    <mergeCell ref="E235:E236"/>
    <mergeCell ref="R235:S236"/>
    <mergeCell ref="T235:T236"/>
    <mergeCell ref="C214:D215"/>
    <mergeCell ref="E214:E215"/>
    <mergeCell ref="C220:U220"/>
    <mergeCell ref="C221:U221"/>
    <mergeCell ref="C223:D224"/>
    <mergeCell ref="E223:E224"/>
    <mergeCell ref="R223:S224"/>
    <mergeCell ref="T223:T224"/>
    <mergeCell ref="C202:D203"/>
    <mergeCell ref="E202:E203"/>
    <mergeCell ref="C208:U208"/>
    <mergeCell ref="C209:U209"/>
    <mergeCell ref="C211:D212"/>
    <mergeCell ref="E211:E212"/>
    <mergeCell ref="R211:S212"/>
    <mergeCell ref="T211:T212"/>
    <mergeCell ref="C190:D191"/>
    <mergeCell ref="E190:E191"/>
    <mergeCell ref="C196:U196"/>
    <mergeCell ref="C197:U197"/>
    <mergeCell ref="C199:D200"/>
    <mergeCell ref="E199:E200"/>
    <mergeCell ref="R199:S200"/>
    <mergeCell ref="T199:T200"/>
    <mergeCell ref="C118:D119"/>
    <mergeCell ref="E118:E119"/>
    <mergeCell ref="C184:U184"/>
    <mergeCell ref="C185:U185"/>
    <mergeCell ref="C187:D188"/>
    <mergeCell ref="E187:E188"/>
    <mergeCell ref="R187:S188"/>
    <mergeCell ref="T187:T188"/>
    <mergeCell ref="C106:D107"/>
    <mergeCell ref="E106:E107"/>
    <mergeCell ref="C112:U112"/>
    <mergeCell ref="C113:U113"/>
    <mergeCell ref="C115:D116"/>
    <mergeCell ref="E115:E116"/>
    <mergeCell ref="R115:S116"/>
    <mergeCell ref="T115:T116"/>
    <mergeCell ref="C163:D164"/>
    <mergeCell ref="E163:E164"/>
    <mergeCell ref="R163:S164"/>
    <mergeCell ref="T163:T164"/>
    <mergeCell ref="C148:U148"/>
    <mergeCell ref="C149:U149"/>
    <mergeCell ref="C151:D152"/>
    <mergeCell ref="E151:E152"/>
    <mergeCell ref="C94:D95"/>
    <mergeCell ref="E94:E95"/>
    <mergeCell ref="C100:U100"/>
    <mergeCell ref="C101:U101"/>
    <mergeCell ref="C103:D104"/>
    <mergeCell ref="E103:E104"/>
    <mergeCell ref="R103:S104"/>
    <mergeCell ref="T103:T104"/>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34:D35"/>
    <mergeCell ref="E34:E35"/>
    <mergeCell ref="C40:U40"/>
    <mergeCell ref="C41:U41"/>
    <mergeCell ref="C43:D44"/>
    <mergeCell ref="E43:E44"/>
    <mergeCell ref="R43:S44"/>
    <mergeCell ref="T43:T44"/>
    <mergeCell ref="C22:D23"/>
    <mergeCell ref="E22:E23"/>
    <mergeCell ref="C28:U28"/>
    <mergeCell ref="C29:U29"/>
    <mergeCell ref="C31:D32"/>
    <mergeCell ref="E31:E32"/>
    <mergeCell ref="R31:S32"/>
    <mergeCell ref="T31:T32"/>
    <mergeCell ref="C10:D11"/>
    <mergeCell ref="E10:E11"/>
    <mergeCell ref="C16:U16"/>
    <mergeCell ref="C17:U17"/>
    <mergeCell ref="C19:D20"/>
    <mergeCell ref="E19:E20"/>
    <mergeCell ref="R19:S20"/>
    <mergeCell ref="T19:T20"/>
    <mergeCell ref="C4:U4"/>
    <mergeCell ref="C5:U5"/>
    <mergeCell ref="C7:D8"/>
    <mergeCell ref="E7:E8"/>
    <mergeCell ref="R7:S8"/>
    <mergeCell ref="T7:T8"/>
    <mergeCell ref="C166:D167"/>
    <mergeCell ref="E166:E167"/>
    <mergeCell ref="C178:D179"/>
    <mergeCell ref="E178:E179"/>
    <mergeCell ref="C130:D131"/>
    <mergeCell ref="E130:E131"/>
    <mergeCell ref="C142:D143"/>
    <mergeCell ref="E142:E143"/>
    <mergeCell ref="C154:D155"/>
    <mergeCell ref="E154:E155"/>
    <mergeCell ref="C172:U172"/>
    <mergeCell ref="C173:U173"/>
    <mergeCell ref="C175:D176"/>
    <mergeCell ref="E175:E176"/>
    <mergeCell ref="R175:S176"/>
    <mergeCell ref="T175:T176"/>
    <mergeCell ref="C160:U160"/>
    <mergeCell ref="C161:U161"/>
    <mergeCell ref="R151:S152"/>
    <mergeCell ref="T151:T152"/>
    <mergeCell ref="C136:U136"/>
    <mergeCell ref="C137:U137"/>
    <mergeCell ref="C139:D140"/>
    <mergeCell ref="E139:E140"/>
    <mergeCell ref="R139:S140"/>
    <mergeCell ref="T139:T140"/>
    <mergeCell ref="C124:U124"/>
    <mergeCell ref="C125:U125"/>
    <mergeCell ref="C127:D128"/>
    <mergeCell ref="E127:E128"/>
    <mergeCell ref="R127:S128"/>
    <mergeCell ref="T127:T128"/>
    <mergeCell ref="C280:U280"/>
    <mergeCell ref="C281:U281"/>
    <mergeCell ref="C283:D284"/>
    <mergeCell ref="E283:E284"/>
    <mergeCell ref="R283:S284"/>
    <mergeCell ref="T283:T284"/>
    <mergeCell ref="C286:D287"/>
    <mergeCell ref="E286:E287"/>
    <mergeCell ref="C292:U292"/>
    <mergeCell ref="C293:U293"/>
    <mergeCell ref="C295:D296"/>
    <mergeCell ref="E295:E296"/>
    <mergeCell ref="R295:S296"/>
    <mergeCell ref="T295:T296"/>
    <mergeCell ref="C298:D299"/>
    <mergeCell ref="E298:E299"/>
    <mergeCell ref="C304:U304"/>
    <mergeCell ref="C305:U305"/>
    <mergeCell ref="C307:D308"/>
    <mergeCell ref="E307:E308"/>
    <mergeCell ref="R307:S308"/>
    <mergeCell ref="T307:T308"/>
    <mergeCell ref="C310:D311"/>
    <mergeCell ref="E310:E311"/>
    <mergeCell ref="C316:U316"/>
    <mergeCell ref="C317:U317"/>
    <mergeCell ref="C319:D320"/>
    <mergeCell ref="E319:E320"/>
    <mergeCell ref="R319:S320"/>
    <mergeCell ref="T319:T320"/>
    <mergeCell ref="C322:D323"/>
    <mergeCell ref="E322:E323"/>
    <mergeCell ref="C328:U328"/>
    <mergeCell ref="C329:U329"/>
    <mergeCell ref="C331:D332"/>
    <mergeCell ref="E331:E332"/>
    <mergeCell ref="R331:S332"/>
    <mergeCell ref="T331:T332"/>
    <mergeCell ref="C334:D335"/>
    <mergeCell ref="E334:E335"/>
    <mergeCell ref="C353:U353"/>
    <mergeCell ref="C355:D356"/>
    <mergeCell ref="E355:E356"/>
    <mergeCell ref="R355:S356"/>
    <mergeCell ref="T355:T356"/>
    <mergeCell ref="C358:D359"/>
    <mergeCell ref="E358:E359"/>
    <mergeCell ref="C340:U340"/>
    <mergeCell ref="C341:U341"/>
    <mergeCell ref="C343:D344"/>
    <mergeCell ref="E343:E344"/>
    <mergeCell ref="R343:S344"/>
    <mergeCell ref="T343:T344"/>
    <mergeCell ref="C346:D347"/>
    <mergeCell ref="E346:E347"/>
    <mergeCell ref="C352:U352"/>
  </mergeCells>
  <phoneticPr fontId="8"/>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pageSetUpPr fitToPage="1"/>
  </sheetPr>
  <dimension ref="A1:BL198"/>
  <sheetViews>
    <sheetView showGridLines="0" tabSelected="1" zoomScaleNormal="100" workbookViewId="0">
      <pane xSplit="27" ySplit="5" topLeftCell="AB6" activePane="bottomRight" state="frozenSplit"/>
      <selection pane="topRight" activeCell="AC1" sqref="AC1"/>
      <selection pane="bottomLeft" activeCell="A6" sqref="A6"/>
      <selection pane="bottomRight" activeCell="P149" sqref="P149:AD149"/>
    </sheetView>
  </sheetViews>
  <sheetFormatPr defaultColWidth="2.625" defaultRowHeight="18.75" outlineLevelRow="1"/>
  <cols>
    <col min="1" max="1" width="2.625" style="34" customWidth="1"/>
    <col min="2" max="6" width="2.625" style="65"/>
    <col min="7" max="14" width="2.625" style="32"/>
    <col min="15" max="15" width="15.875" style="32" bestFit="1" customWidth="1"/>
    <col min="16" max="20" width="2.625" style="32"/>
    <col min="21" max="21" width="2.625" style="32" customWidth="1"/>
    <col min="22" max="63" width="2.625" style="32"/>
    <col min="64" max="64" width="2.875" style="32" bestFit="1" customWidth="1"/>
    <col min="65" max="16384" width="2.625" style="32"/>
  </cols>
  <sheetData>
    <row r="1" spans="1:64">
      <c r="B1" s="147" t="s">
        <v>138</v>
      </c>
      <c r="C1" s="148"/>
      <c r="D1" s="148"/>
      <c r="E1" s="148"/>
      <c r="F1" s="148"/>
      <c r="G1" s="148"/>
      <c r="H1" s="148"/>
      <c r="I1" s="148"/>
      <c r="J1" s="148"/>
      <c r="K1" s="148"/>
      <c r="L1" s="148"/>
      <c r="M1" s="148"/>
      <c r="N1" s="149"/>
      <c r="O1" s="153" t="s">
        <v>157</v>
      </c>
      <c r="P1" s="154"/>
      <c r="Q1" s="154"/>
      <c r="R1" s="154"/>
      <c r="S1" s="154"/>
      <c r="T1" s="154"/>
      <c r="U1" s="154"/>
      <c r="V1" s="154"/>
      <c r="W1" s="154"/>
      <c r="X1" s="154"/>
      <c r="Y1" s="154"/>
      <c r="Z1" s="154"/>
      <c r="AA1" s="154"/>
      <c r="AB1" s="154"/>
      <c r="AC1" s="154"/>
      <c r="AD1" s="155"/>
      <c r="AE1" s="153" t="s">
        <v>3331</v>
      </c>
      <c r="AF1" s="154"/>
      <c r="AG1" s="154"/>
      <c r="AH1" s="154"/>
      <c r="AI1" s="154"/>
      <c r="AJ1" s="154"/>
      <c r="AK1" s="154"/>
      <c r="AL1" s="154"/>
      <c r="AM1" s="154"/>
      <c r="AN1" s="154"/>
      <c r="AO1" s="154"/>
      <c r="AP1" s="154"/>
      <c r="AQ1" s="154"/>
      <c r="AR1" s="155"/>
      <c r="AS1" s="153"/>
      <c r="AT1" s="154"/>
      <c r="AU1" s="154"/>
      <c r="AV1" s="154"/>
      <c r="AW1" s="154"/>
      <c r="AX1" s="155"/>
      <c r="AY1" s="153"/>
      <c r="AZ1" s="154"/>
      <c r="BA1" s="154"/>
      <c r="BB1" s="154"/>
      <c r="BC1" s="154"/>
      <c r="BD1" s="155"/>
      <c r="BE1" s="153"/>
      <c r="BF1" s="154"/>
      <c r="BG1" s="154"/>
      <c r="BH1" s="154"/>
      <c r="BI1" s="154"/>
      <c r="BJ1" s="155"/>
    </row>
    <row r="2" spans="1:64">
      <c r="B2" s="150"/>
      <c r="C2" s="151"/>
      <c r="D2" s="151"/>
      <c r="E2" s="151"/>
      <c r="F2" s="151"/>
      <c r="G2" s="151"/>
      <c r="H2" s="151"/>
      <c r="I2" s="151"/>
      <c r="J2" s="151"/>
      <c r="K2" s="151"/>
      <c r="L2" s="151"/>
      <c r="M2" s="151"/>
      <c r="N2" s="152"/>
      <c r="O2" s="156" t="s">
        <v>3839</v>
      </c>
      <c r="P2" s="157"/>
      <c r="Q2" s="157"/>
      <c r="R2" s="157"/>
      <c r="S2" s="157"/>
      <c r="T2" s="157"/>
      <c r="U2" s="157"/>
      <c r="V2" s="157"/>
      <c r="W2" s="157"/>
      <c r="X2" s="157"/>
      <c r="Y2" s="157"/>
      <c r="Z2" s="157"/>
      <c r="AA2" s="157"/>
      <c r="AB2" s="157"/>
      <c r="AC2" s="157"/>
      <c r="AD2" s="158"/>
      <c r="AE2" s="156" t="s">
        <v>3837</v>
      </c>
      <c r="AF2" s="157"/>
      <c r="AG2" s="157"/>
      <c r="AH2" s="157"/>
      <c r="AI2" s="157"/>
      <c r="AJ2" s="157"/>
      <c r="AK2" s="157"/>
      <c r="AL2" s="157"/>
      <c r="AM2" s="157"/>
      <c r="AN2" s="157"/>
      <c r="AO2" s="157"/>
      <c r="AP2" s="157"/>
      <c r="AQ2" s="157"/>
      <c r="AR2" s="158"/>
      <c r="AS2" s="182"/>
      <c r="AT2" s="183"/>
      <c r="AU2" s="183"/>
      <c r="AV2" s="183"/>
      <c r="AW2" s="183"/>
      <c r="AX2" s="184"/>
      <c r="AY2" s="182"/>
      <c r="AZ2" s="183"/>
      <c r="BA2" s="183"/>
      <c r="BB2" s="183"/>
      <c r="BC2" s="183"/>
      <c r="BD2" s="184"/>
      <c r="BE2" s="182"/>
      <c r="BF2" s="183"/>
      <c r="BG2" s="183"/>
      <c r="BH2" s="183"/>
      <c r="BI2" s="183"/>
      <c r="BJ2" s="184"/>
    </row>
    <row r="3" spans="1:64" ht="19.5"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177" t="s">
        <v>165</v>
      </c>
      <c r="C4" s="166"/>
      <c r="D4" s="166"/>
      <c r="E4" s="166"/>
      <c r="F4" s="167"/>
      <c r="G4" s="165" t="s">
        <v>164</v>
      </c>
      <c r="H4" s="166"/>
      <c r="I4" s="166"/>
      <c r="J4" s="166"/>
      <c r="K4" s="166"/>
      <c r="L4" s="166"/>
      <c r="M4" s="166"/>
      <c r="N4" s="167"/>
      <c r="O4" s="165" t="s">
        <v>160</v>
      </c>
      <c r="P4" s="159" t="s">
        <v>139</v>
      </c>
      <c r="Q4" s="160"/>
      <c r="R4" s="160"/>
      <c r="S4" s="160"/>
      <c r="T4" s="160"/>
      <c r="U4" s="160"/>
      <c r="V4" s="160"/>
      <c r="W4" s="160"/>
      <c r="X4" s="160"/>
      <c r="Y4" s="160"/>
      <c r="Z4" s="160"/>
      <c r="AA4" s="160"/>
      <c r="AB4" s="160"/>
      <c r="AC4" s="160"/>
      <c r="AD4" s="161"/>
      <c r="AE4" s="159" t="s">
        <v>136</v>
      </c>
      <c r="AF4" s="160"/>
      <c r="AG4" s="160"/>
      <c r="AH4" s="160"/>
      <c r="AI4" s="160"/>
      <c r="AJ4" s="160"/>
      <c r="AK4" s="160"/>
      <c r="AL4" s="161"/>
      <c r="AM4" s="165" t="s">
        <v>117</v>
      </c>
      <c r="AN4" s="166"/>
      <c r="AO4" s="166"/>
      <c r="AP4" s="166"/>
      <c r="AQ4" s="166"/>
      <c r="AR4" s="166"/>
      <c r="AS4" s="166"/>
      <c r="AT4" s="166"/>
      <c r="AU4" s="166"/>
      <c r="AV4" s="166"/>
      <c r="AW4" s="166"/>
      <c r="AX4" s="166"/>
      <c r="AY4" s="166"/>
      <c r="AZ4" s="166"/>
      <c r="BA4" s="166"/>
      <c r="BB4" s="166"/>
      <c r="BC4" s="166"/>
      <c r="BD4" s="166"/>
      <c r="BE4" s="166"/>
      <c r="BF4" s="166"/>
      <c r="BG4" s="166"/>
      <c r="BH4" s="166"/>
      <c r="BI4" s="166"/>
      <c r="BJ4" s="186"/>
    </row>
    <row r="5" spans="1:64" ht="42" customHeight="1" thickBot="1">
      <c r="B5" s="178"/>
      <c r="C5" s="169"/>
      <c r="D5" s="169"/>
      <c r="E5" s="169"/>
      <c r="F5" s="170"/>
      <c r="G5" s="168"/>
      <c r="H5" s="169"/>
      <c r="I5" s="169"/>
      <c r="J5" s="169"/>
      <c r="K5" s="169"/>
      <c r="L5" s="169"/>
      <c r="M5" s="169"/>
      <c r="N5" s="170"/>
      <c r="O5" s="171"/>
      <c r="P5" s="171"/>
      <c r="Q5" s="172"/>
      <c r="R5" s="172"/>
      <c r="S5" s="172"/>
      <c r="T5" s="172"/>
      <c r="U5" s="172"/>
      <c r="V5" s="172"/>
      <c r="W5" s="172"/>
      <c r="X5" s="172"/>
      <c r="Y5" s="172"/>
      <c r="Z5" s="172"/>
      <c r="AA5" s="172"/>
      <c r="AB5" s="172"/>
      <c r="AC5" s="172"/>
      <c r="AD5" s="173"/>
      <c r="AE5" s="162"/>
      <c r="AF5" s="163"/>
      <c r="AG5" s="163"/>
      <c r="AH5" s="163"/>
      <c r="AI5" s="163"/>
      <c r="AJ5" s="163"/>
      <c r="AK5" s="163"/>
      <c r="AL5" s="164"/>
      <c r="AM5" s="187"/>
      <c r="AN5" s="188"/>
      <c r="AO5" s="188"/>
      <c r="AP5" s="188"/>
      <c r="AQ5" s="188"/>
      <c r="AR5" s="188"/>
      <c r="AS5" s="188"/>
      <c r="AT5" s="188"/>
      <c r="AU5" s="188"/>
      <c r="AV5" s="188"/>
      <c r="AW5" s="188"/>
      <c r="AX5" s="188"/>
      <c r="AY5" s="188"/>
      <c r="AZ5" s="188"/>
      <c r="BA5" s="188"/>
      <c r="BB5" s="188"/>
      <c r="BC5" s="188"/>
      <c r="BD5" s="188"/>
      <c r="BE5" s="188"/>
      <c r="BF5" s="188"/>
      <c r="BG5" s="188"/>
      <c r="BH5" s="188"/>
      <c r="BI5" s="188"/>
      <c r="BJ5" s="189"/>
    </row>
    <row r="6" spans="1:64" ht="37.5" hidden="1" customHeight="1" outlineLevel="1" thickTop="1">
      <c r="A6" s="34" t="str">
        <f>P6</f>
        <v>バックアップ_処方データ_組入れ第一条件</v>
      </c>
      <c r="B6" s="144" t="str">
        <f>TEXT(1,"00")</f>
        <v>01</v>
      </c>
      <c r="C6" s="145"/>
      <c r="D6" s="145"/>
      <c r="E6" s="145"/>
      <c r="F6" s="146"/>
      <c r="G6" s="141" t="s">
        <v>197</v>
      </c>
      <c r="H6" s="142"/>
      <c r="I6" s="142"/>
      <c r="J6" s="142"/>
      <c r="K6" s="142"/>
      <c r="L6" s="142"/>
      <c r="M6" s="142"/>
      <c r="N6" s="143"/>
      <c r="O6" s="81" t="s">
        <v>3722</v>
      </c>
      <c r="P6" s="134" t="s">
        <v>3725</v>
      </c>
      <c r="Q6" s="135"/>
      <c r="R6" s="135"/>
      <c r="S6" s="135"/>
      <c r="T6" s="135"/>
      <c r="U6" s="135"/>
      <c r="V6" s="135"/>
      <c r="W6" s="135"/>
      <c r="X6" s="135"/>
      <c r="Y6" s="135"/>
      <c r="Z6" s="135"/>
      <c r="AA6" s="135"/>
      <c r="AB6" s="135"/>
      <c r="AC6" s="135"/>
      <c r="AD6" s="136"/>
      <c r="AE6" s="137" t="str">
        <f t="shared" ref="AE6" ca="1" si="0">IFERROR(INDIRECT(P6&amp;"!D8"),"")</f>
        <v>azn_202310_backup_shohou_first_criteria</v>
      </c>
      <c r="AF6" s="138"/>
      <c r="AG6" s="138"/>
      <c r="AH6" s="138"/>
      <c r="AI6" s="138"/>
      <c r="AJ6" s="138"/>
      <c r="AK6" s="138"/>
      <c r="AL6" s="139"/>
      <c r="AM6" s="137" t="str">
        <f t="shared" ref="AM6" ca="1" si="1">IFERROR(INDIRECT(P6&amp;"!D9"),"")</f>
        <v>処方データ_組入れ第一条件テーブルから組入れ条件の第一条件で絞り込んだ結果を格納するテーブル</v>
      </c>
      <c r="AN6" s="138"/>
      <c r="AO6" s="138"/>
      <c r="AP6" s="138"/>
      <c r="AQ6" s="138"/>
      <c r="AR6" s="138"/>
      <c r="AS6" s="138"/>
      <c r="AT6" s="138"/>
      <c r="AU6" s="138"/>
      <c r="AV6" s="138"/>
      <c r="AW6" s="138"/>
      <c r="AX6" s="138"/>
      <c r="AY6" s="138"/>
      <c r="AZ6" s="138"/>
      <c r="BA6" s="138"/>
      <c r="BB6" s="138"/>
      <c r="BC6" s="138"/>
      <c r="BD6" s="138"/>
      <c r="BE6" s="138"/>
      <c r="BF6" s="138"/>
      <c r="BG6" s="138"/>
      <c r="BH6" s="138"/>
      <c r="BI6" s="138"/>
      <c r="BJ6" s="140"/>
      <c r="BK6" s="32" t="str">
        <f t="shared" ref="BK6:BK7" si="2">IF(P6&lt;&gt;"",O6&amp;"_"&amp;P6&amp;".sql","")</f>
        <v>ENT_01_01_バックアップ_処方データ_組入れ第一条件.sql</v>
      </c>
    </row>
    <row r="7" spans="1:64" ht="37.5" hidden="1" customHeight="1" outlineLevel="1">
      <c r="A7" s="34" t="str">
        <f t="shared" ref="A7" si="3">P7</f>
        <v>バックアップ_患者マスタ_組入れ第一条件</v>
      </c>
      <c r="B7" s="144" t="str">
        <f t="shared" ref="B7" si="4">TEXT(1,"00")</f>
        <v>01</v>
      </c>
      <c r="C7" s="145"/>
      <c r="D7" s="145"/>
      <c r="E7" s="145"/>
      <c r="F7" s="146"/>
      <c r="G7" s="141" t="s">
        <v>197</v>
      </c>
      <c r="H7" s="142"/>
      <c r="I7" s="142"/>
      <c r="J7" s="142"/>
      <c r="K7" s="142"/>
      <c r="L7" s="142"/>
      <c r="M7" s="142"/>
      <c r="N7" s="143"/>
      <c r="O7" s="81" t="s">
        <v>3723</v>
      </c>
      <c r="P7" s="134" t="s">
        <v>3726</v>
      </c>
      <c r="Q7" s="135"/>
      <c r="R7" s="135"/>
      <c r="S7" s="135"/>
      <c r="T7" s="135"/>
      <c r="U7" s="135"/>
      <c r="V7" s="135"/>
      <c r="W7" s="135"/>
      <c r="X7" s="135"/>
      <c r="Y7" s="135"/>
      <c r="Z7" s="135"/>
      <c r="AA7" s="135"/>
      <c r="AB7" s="135"/>
      <c r="AC7" s="135"/>
      <c r="AD7" s="136"/>
      <c r="AE7" s="137" t="str">
        <f t="shared" ref="AE7" ca="1" si="5">IFERROR(INDIRECT(P7&amp;"!D8"),"")</f>
        <v>azn_202310_backup_kanja_first_criteria</v>
      </c>
      <c r="AF7" s="138"/>
      <c r="AG7" s="138"/>
      <c r="AH7" s="138"/>
      <c r="AI7" s="138"/>
      <c r="AJ7" s="138"/>
      <c r="AK7" s="138"/>
      <c r="AL7" s="139"/>
      <c r="AM7" s="137" t="str">
        <f t="shared" ref="AM7" ca="1" si="6">IFERROR(INDIRECT(P7&amp;"!D9"),"")</f>
        <v>患者マスタ_組入れ第一条件テーブルから組入れ条件の第一条件で絞り込んだ結果を格納するテーブル</v>
      </c>
      <c r="AN7" s="138"/>
      <c r="AO7" s="138"/>
      <c r="AP7" s="138"/>
      <c r="AQ7" s="138"/>
      <c r="AR7" s="138"/>
      <c r="AS7" s="138"/>
      <c r="AT7" s="138"/>
      <c r="AU7" s="138"/>
      <c r="AV7" s="138"/>
      <c r="AW7" s="138"/>
      <c r="AX7" s="138"/>
      <c r="AY7" s="138"/>
      <c r="AZ7" s="138"/>
      <c r="BA7" s="138"/>
      <c r="BB7" s="138"/>
      <c r="BC7" s="138"/>
      <c r="BD7" s="138"/>
      <c r="BE7" s="138"/>
      <c r="BF7" s="138"/>
      <c r="BG7" s="138"/>
      <c r="BH7" s="138"/>
      <c r="BI7" s="138"/>
      <c r="BJ7" s="140"/>
      <c r="BK7" s="32" t="str">
        <f t="shared" si="2"/>
        <v>ENT_01_02_バックアップ_患者マスタ_組入れ第一条件.sql</v>
      </c>
    </row>
    <row r="8" spans="1:64" ht="37.5" hidden="1" customHeight="1" outlineLevel="1">
      <c r="A8" s="34" t="str">
        <f t="shared" ref="A8:A19" si="7">P8</f>
        <v>バックアップ_処方データ</v>
      </c>
      <c r="B8" s="144" t="str">
        <f t="shared" ref="B8:B146" si="8">TEXT(1,"00")</f>
        <v>01</v>
      </c>
      <c r="C8" s="145"/>
      <c r="D8" s="145"/>
      <c r="E8" s="145"/>
      <c r="F8" s="146"/>
      <c r="G8" s="141" t="s">
        <v>197</v>
      </c>
      <c r="H8" s="142"/>
      <c r="I8" s="142"/>
      <c r="J8" s="142"/>
      <c r="K8" s="142"/>
      <c r="L8" s="142"/>
      <c r="M8" s="142"/>
      <c r="N8" s="143"/>
      <c r="O8" s="81" t="s">
        <v>3177</v>
      </c>
      <c r="P8" s="134" t="s">
        <v>1780</v>
      </c>
      <c r="Q8" s="135"/>
      <c r="R8" s="135"/>
      <c r="S8" s="135"/>
      <c r="T8" s="135"/>
      <c r="U8" s="135"/>
      <c r="V8" s="135"/>
      <c r="W8" s="135"/>
      <c r="X8" s="135"/>
      <c r="Y8" s="135"/>
      <c r="Z8" s="135"/>
      <c r="AA8" s="135"/>
      <c r="AB8" s="135"/>
      <c r="AC8" s="135"/>
      <c r="AD8" s="136"/>
      <c r="AE8" s="137" t="str">
        <f t="shared" ref="AE8:AE19" ca="1" si="9">IFERROR(INDIRECT(P8&amp;"!D8"),"")</f>
        <v>azn_202310_backup_mart_shohou</v>
      </c>
      <c r="AF8" s="138"/>
      <c r="AG8" s="138"/>
      <c r="AH8" s="138"/>
      <c r="AI8" s="138"/>
      <c r="AJ8" s="138"/>
      <c r="AK8" s="138"/>
      <c r="AL8" s="139"/>
      <c r="AM8" s="137" t="str">
        <f t="shared" ref="AM8:AM19" ca="1" si="10">IFERROR(INDIRECT(P8&amp;"!D9"),"")</f>
        <v>処方データテーブルから組入れ条件の第一条件で絞り込んだ結果を格納するテーブル</v>
      </c>
      <c r="AN8" s="138"/>
      <c r="AO8" s="138"/>
      <c r="AP8" s="138"/>
      <c r="AQ8" s="138"/>
      <c r="AR8" s="138"/>
      <c r="AS8" s="138"/>
      <c r="AT8" s="138"/>
      <c r="AU8" s="138"/>
      <c r="AV8" s="138"/>
      <c r="AW8" s="138"/>
      <c r="AX8" s="138"/>
      <c r="AY8" s="138"/>
      <c r="AZ8" s="138"/>
      <c r="BA8" s="138"/>
      <c r="BB8" s="138"/>
      <c r="BC8" s="138"/>
      <c r="BD8" s="138"/>
      <c r="BE8" s="138"/>
      <c r="BF8" s="138"/>
      <c r="BG8" s="138"/>
      <c r="BH8" s="138"/>
      <c r="BI8" s="138"/>
      <c r="BJ8" s="140"/>
      <c r="BK8" s="32" t="str">
        <f t="shared" ref="BK8:BK19" si="11">IF(P8&lt;&gt;"",O8&amp;"_"&amp;P8&amp;".sql","")</f>
        <v>ENT_01_A1-02_バックアップ_処方データ.sql</v>
      </c>
      <c r="BL8" s="32">
        <v>1</v>
      </c>
    </row>
    <row r="9" spans="1:64" ht="37.5" hidden="1" customHeight="1" outlineLevel="1">
      <c r="A9" s="34" t="str">
        <f t="shared" si="7"/>
        <v>バックアップ_診療行為データ</v>
      </c>
      <c r="B9" s="144" t="str">
        <f t="shared" si="8"/>
        <v>01</v>
      </c>
      <c r="C9" s="145"/>
      <c r="D9" s="145"/>
      <c r="E9" s="145"/>
      <c r="F9" s="146"/>
      <c r="G9" s="141" t="s">
        <v>197</v>
      </c>
      <c r="H9" s="142"/>
      <c r="I9" s="142"/>
      <c r="J9" s="142"/>
      <c r="K9" s="142"/>
      <c r="L9" s="142"/>
      <c r="M9" s="142"/>
      <c r="N9" s="143"/>
      <c r="O9" s="81" t="s">
        <v>3178</v>
      </c>
      <c r="P9" s="134" t="s">
        <v>1807</v>
      </c>
      <c r="Q9" s="135"/>
      <c r="R9" s="135"/>
      <c r="S9" s="135"/>
      <c r="T9" s="135"/>
      <c r="U9" s="135"/>
      <c r="V9" s="135"/>
      <c r="W9" s="135"/>
      <c r="X9" s="135"/>
      <c r="Y9" s="135"/>
      <c r="Z9" s="135"/>
      <c r="AA9" s="135"/>
      <c r="AB9" s="135"/>
      <c r="AC9" s="135"/>
      <c r="AD9" s="136"/>
      <c r="AE9" s="137" t="str">
        <f t="shared" ca="1" si="9"/>
        <v>azn_202310_backup_mart_shinryou_koui</v>
      </c>
      <c r="AF9" s="138"/>
      <c r="AG9" s="138"/>
      <c r="AH9" s="138"/>
      <c r="AI9" s="138"/>
      <c r="AJ9" s="138"/>
      <c r="AK9" s="138"/>
      <c r="AL9" s="139"/>
      <c r="AM9" s="137" t="str">
        <f t="shared" ca="1" si="10"/>
        <v>診療行為データテーブルから組入れ条件の第一条件で絞り込んだ結果を格納するテーブル</v>
      </c>
      <c r="AN9" s="138"/>
      <c r="AO9" s="138"/>
      <c r="AP9" s="138"/>
      <c r="AQ9" s="138"/>
      <c r="AR9" s="138"/>
      <c r="AS9" s="138"/>
      <c r="AT9" s="138"/>
      <c r="AU9" s="138"/>
      <c r="AV9" s="138"/>
      <c r="AW9" s="138"/>
      <c r="AX9" s="138"/>
      <c r="AY9" s="138"/>
      <c r="AZ9" s="138"/>
      <c r="BA9" s="138"/>
      <c r="BB9" s="138"/>
      <c r="BC9" s="138"/>
      <c r="BD9" s="138"/>
      <c r="BE9" s="138"/>
      <c r="BF9" s="138"/>
      <c r="BG9" s="138"/>
      <c r="BH9" s="138"/>
      <c r="BI9" s="138"/>
      <c r="BJ9" s="140"/>
      <c r="BK9" s="32" t="str">
        <f t="shared" si="11"/>
        <v>ENT_01_A1-03_バックアップ_診療行為データ.sql</v>
      </c>
      <c r="BL9" s="32">
        <v>1</v>
      </c>
    </row>
    <row r="10" spans="1:64" ht="37.5" hidden="1" customHeight="1" outlineLevel="1">
      <c r="A10" s="34" t="str">
        <f t="shared" si="7"/>
        <v>バックアップ_疾患データ</v>
      </c>
      <c r="B10" s="144" t="str">
        <f t="shared" si="8"/>
        <v>01</v>
      </c>
      <c r="C10" s="145"/>
      <c r="D10" s="145"/>
      <c r="E10" s="145"/>
      <c r="F10" s="146"/>
      <c r="G10" s="141" t="s">
        <v>197</v>
      </c>
      <c r="H10" s="142"/>
      <c r="I10" s="142"/>
      <c r="J10" s="142"/>
      <c r="K10" s="142"/>
      <c r="L10" s="142"/>
      <c r="M10" s="142"/>
      <c r="N10" s="143"/>
      <c r="O10" s="81" t="s">
        <v>3179</v>
      </c>
      <c r="P10" s="134" t="s">
        <v>1816</v>
      </c>
      <c r="Q10" s="135"/>
      <c r="R10" s="135"/>
      <c r="S10" s="135"/>
      <c r="T10" s="135"/>
      <c r="U10" s="135"/>
      <c r="V10" s="135"/>
      <c r="W10" s="135"/>
      <c r="X10" s="135"/>
      <c r="Y10" s="135"/>
      <c r="Z10" s="135"/>
      <c r="AA10" s="135"/>
      <c r="AB10" s="135"/>
      <c r="AC10" s="135"/>
      <c r="AD10" s="136"/>
      <c r="AE10" s="137" t="str">
        <f t="shared" ca="1" si="9"/>
        <v>azn_202310_backup_mart_shikkan</v>
      </c>
      <c r="AF10" s="138"/>
      <c r="AG10" s="138"/>
      <c r="AH10" s="138"/>
      <c r="AI10" s="138"/>
      <c r="AJ10" s="138"/>
      <c r="AK10" s="138"/>
      <c r="AL10" s="139"/>
      <c r="AM10" s="137" t="str">
        <f t="shared" ca="1" si="10"/>
        <v>疾患データテーブルから組入れ条件の第一条件で絞り込んだ結果を格納するテーブル</v>
      </c>
      <c r="AN10" s="138"/>
      <c r="AO10" s="138"/>
      <c r="AP10" s="138"/>
      <c r="AQ10" s="138"/>
      <c r="AR10" s="138"/>
      <c r="AS10" s="138"/>
      <c r="AT10" s="138"/>
      <c r="AU10" s="138"/>
      <c r="AV10" s="138"/>
      <c r="AW10" s="138"/>
      <c r="AX10" s="138"/>
      <c r="AY10" s="138"/>
      <c r="AZ10" s="138"/>
      <c r="BA10" s="138"/>
      <c r="BB10" s="138"/>
      <c r="BC10" s="138"/>
      <c r="BD10" s="138"/>
      <c r="BE10" s="138"/>
      <c r="BF10" s="138"/>
      <c r="BG10" s="138"/>
      <c r="BH10" s="138"/>
      <c r="BI10" s="138"/>
      <c r="BJ10" s="140"/>
      <c r="BK10" s="32" t="str">
        <f t="shared" si="11"/>
        <v>ENT_01_A1-04_バックアップ_疾患データ.sql</v>
      </c>
    </row>
    <row r="11" spans="1:64" ht="37.5" hidden="1" customHeight="1" outlineLevel="1">
      <c r="A11" s="34" t="str">
        <f t="shared" si="7"/>
        <v>バックアップ_疾患診療科データ</v>
      </c>
      <c r="B11" s="144" t="str">
        <f t="shared" si="8"/>
        <v>01</v>
      </c>
      <c r="C11" s="145"/>
      <c r="D11" s="145"/>
      <c r="E11" s="145"/>
      <c r="F11" s="146"/>
      <c r="G11" s="141" t="s">
        <v>197</v>
      </c>
      <c r="H11" s="142"/>
      <c r="I11" s="142"/>
      <c r="J11" s="142"/>
      <c r="K11" s="142"/>
      <c r="L11" s="142"/>
      <c r="M11" s="142"/>
      <c r="N11" s="143"/>
      <c r="O11" s="81" t="s">
        <v>3180</v>
      </c>
      <c r="P11" s="134" t="s">
        <v>1843</v>
      </c>
      <c r="Q11" s="135"/>
      <c r="R11" s="135"/>
      <c r="S11" s="135"/>
      <c r="T11" s="135"/>
      <c r="U11" s="135"/>
      <c r="V11" s="135"/>
      <c r="W11" s="135"/>
      <c r="X11" s="135"/>
      <c r="Y11" s="135"/>
      <c r="Z11" s="135"/>
      <c r="AA11" s="135"/>
      <c r="AB11" s="135"/>
      <c r="AC11" s="135"/>
      <c r="AD11" s="136"/>
      <c r="AE11" s="137" t="str">
        <f t="shared" ca="1" si="9"/>
        <v>azn_202310_backup_mart_shikkan_department</v>
      </c>
      <c r="AF11" s="138"/>
      <c r="AG11" s="138"/>
      <c r="AH11" s="138"/>
      <c r="AI11" s="138"/>
      <c r="AJ11" s="138"/>
      <c r="AK11" s="138"/>
      <c r="AL11" s="139"/>
      <c r="AM11" s="137" t="str">
        <f t="shared" ca="1" si="10"/>
        <v>疾患診療科データテーブルから組入れ条件の第一条件で絞り込んだ結果を格納するテーブル</v>
      </c>
      <c r="AN11" s="138"/>
      <c r="AO11" s="138"/>
      <c r="AP11" s="138"/>
      <c r="AQ11" s="138"/>
      <c r="AR11" s="138"/>
      <c r="AS11" s="138"/>
      <c r="AT11" s="138"/>
      <c r="AU11" s="138"/>
      <c r="AV11" s="138"/>
      <c r="AW11" s="138"/>
      <c r="AX11" s="138"/>
      <c r="AY11" s="138"/>
      <c r="AZ11" s="138"/>
      <c r="BA11" s="138"/>
      <c r="BB11" s="138"/>
      <c r="BC11" s="138"/>
      <c r="BD11" s="138"/>
      <c r="BE11" s="138"/>
      <c r="BF11" s="138"/>
      <c r="BG11" s="138"/>
      <c r="BH11" s="138"/>
      <c r="BI11" s="138"/>
      <c r="BJ11" s="140"/>
      <c r="BK11" s="32" t="str">
        <f t="shared" si="11"/>
        <v>ENT_01_A1-05_バックアップ_疾患診療科データ.sql</v>
      </c>
    </row>
    <row r="12" spans="1:64" ht="37.5" hidden="1" customHeight="1" outlineLevel="1">
      <c r="A12" s="34" t="str">
        <f t="shared" si="7"/>
        <v>バックアップ_入院退院データ</v>
      </c>
      <c r="B12" s="144" t="str">
        <f t="shared" si="8"/>
        <v>01</v>
      </c>
      <c r="C12" s="145"/>
      <c r="D12" s="145"/>
      <c r="E12" s="145"/>
      <c r="F12" s="146"/>
      <c r="G12" s="141" t="s">
        <v>197</v>
      </c>
      <c r="H12" s="142"/>
      <c r="I12" s="142"/>
      <c r="J12" s="142"/>
      <c r="K12" s="142"/>
      <c r="L12" s="142"/>
      <c r="M12" s="142"/>
      <c r="N12" s="143"/>
      <c r="O12" s="81" t="s">
        <v>3181</v>
      </c>
      <c r="P12" s="134" t="s">
        <v>1851</v>
      </c>
      <c r="Q12" s="135"/>
      <c r="R12" s="135"/>
      <c r="S12" s="135"/>
      <c r="T12" s="135"/>
      <c r="U12" s="135"/>
      <c r="V12" s="135"/>
      <c r="W12" s="135"/>
      <c r="X12" s="135"/>
      <c r="Y12" s="135"/>
      <c r="Z12" s="135"/>
      <c r="AA12" s="135"/>
      <c r="AB12" s="135"/>
      <c r="AC12" s="135"/>
      <c r="AD12" s="136"/>
      <c r="AE12" s="137" t="str">
        <f t="shared" ca="1" si="9"/>
        <v>azn_202310_backup_mart_nyu_tai_in</v>
      </c>
      <c r="AF12" s="138"/>
      <c r="AG12" s="138"/>
      <c r="AH12" s="138"/>
      <c r="AI12" s="138"/>
      <c r="AJ12" s="138"/>
      <c r="AK12" s="138"/>
      <c r="AL12" s="139"/>
      <c r="AM12" s="137" t="str">
        <f t="shared" ca="1" si="10"/>
        <v>入院退院データテーブルから組入れ条件の第一条件で絞り込んだ結果を格納するテーブル</v>
      </c>
      <c r="AN12" s="138"/>
      <c r="AO12" s="138"/>
      <c r="AP12" s="138"/>
      <c r="AQ12" s="138"/>
      <c r="AR12" s="138"/>
      <c r="AS12" s="138"/>
      <c r="AT12" s="138"/>
      <c r="AU12" s="138"/>
      <c r="AV12" s="138"/>
      <c r="AW12" s="138"/>
      <c r="AX12" s="138"/>
      <c r="AY12" s="138"/>
      <c r="AZ12" s="138"/>
      <c r="BA12" s="138"/>
      <c r="BB12" s="138"/>
      <c r="BC12" s="138"/>
      <c r="BD12" s="138"/>
      <c r="BE12" s="138"/>
      <c r="BF12" s="138"/>
      <c r="BG12" s="138"/>
      <c r="BH12" s="138"/>
      <c r="BI12" s="138"/>
      <c r="BJ12" s="140"/>
      <c r="BK12" s="32" t="str">
        <f t="shared" si="11"/>
        <v>ENT_01_A1-06_バックアップ_入院退院データ.sql</v>
      </c>
      <c r="BL12" s="32">
        <v>1</v>
      </c>
    </row>
    <row r="13" spans="1:64" ht="37.5" hidden="1" customHeight="1" outlineLevel="1">
      <c r="A13" s="34" t="str">
        <f t="shared" si="7"/>
        <v>バックアップ_二次利用DB登録患者データ</v>
      </c>
      <c r="B13" s="144" t="str">
        <f t="shared" si="8"/>
        <v>01</v>
      </c>
      <c r="C13" s="145"/>
      <c r="D13" s="145"/>
      <c r="E13" s="145"/>
      <c r="F13" s="146"/>
      <c r="G13" s="141" t="s">
        <v>197</v>
      </c>
      <c r="H13" s="142"/>
      <c r="I13" s="142"/>
      <c r="J13" s="142"/>
      <c r="K13" s="142"/>
      <c r="L13" s="142"/>
      <c r="M13" s="142"/>
      <c r="N13" s="143"/>
      <c r="O13" s="81" t="s">
        <v>3182</v>
      </c>
      <c r="P13" s="134" t="s">
        <v>1864</v>
      </c>
      <c r="Q13" s="135"/>
      <c r="R13" s="135"/>
      <c r="S13" s="135"/>
      <c r="T13" s="135"/>
      <c r="U13" s="135"/>
      <c r="V13" s="135"/>
      <c r="W13" s="135"/>
      <c r="X13" s="135"/>
      <c r="Y13" s="135"/>
      <c r="Z13" s="135"/>
      <c r="AA13" s="135"/>
      <c r="AB13" s="135"/>
      <c r="AC13" s="135"/>
      <c r="AD13" s="136"/>
      <c r="AE13" s="137" t="str">
        <f t="shared" ca="1" si="9"/>
        <v>azn_202310_backup_mart_2riyo_patient_id</v>
      </c>
      <c r="AF13" s="138"/>
      <c r="AG13" s="138"/>
      <c r="AH13" s="138"/>
      <c r="AI13" s="138"/>
      <c r="AJ13" s="138"/>
      <c r="AK13" s="138"/>
      <c r="AL13" s="139"/>
      <c r="AM13" s="137" t="str">
        <f t="shared" ca="1" si="10"/>
        <v>二次利用DB登録患者データテーブルから組入れ条件の第一条件で絞り込んだ結果を格納するテーブル</v>
      </c>
      <c r="AN13" s="138"/>
      <c r="AO13" s="138"/>
      <c r="AP13" s="138"/>
      <c r="AQ13" s="138"/>
      <c r="AR13" s="138"/>
      <c r="AS13" s="138"/>
      <c r="AT13" s="138"/>
      <c r="AU13" s="138"/>
      <c r="AV13" s="138"/>
      <c r="AW13" s="138"/>
      <c r="AX13" s="138"/>
      <c r="AY13" s="138"/>
      <c r="AZ13" s="138"/>
      <c r="BA13" s="138"/>
      <c r="BB13" s="138"/>
      <c r="BC13" s="138"/>
      <c r="BD13" s="138"/>
      <c r="BE13" s="138"/>
      <c r="BF13" s="138"/>
      <c r="BG13" s="138"/>
      <c r="BH13" s="138"/>
      <c r="BI13" s="138"/>
      <c r="BJ13" s="140"/>
      <c r="BK13" s="32" t="str">
        <f t="shared" si="11"/>
        <v>ENT_01_A1-07_バックアップ_二次利用DB登録患者データ.sql</v>
      </c>
    </row>
    <row r="14" spans="1:64" ht="37.5" hidden="1" customHeight="1" outlineLevel="1">
      <c r="A14" s="34" t="str">
        <f t="shared" si="7"/>
        <v>バックアップ_二次利用DB登録患者データ_DPC</v>
      </c>
      <c r="B14" s="144" t="str">
        <f t="shared" si="8"/>
        <v>01</v>
      </c>
      <c r="C14" s="145"/>
      <c r="D14" s="145"/>
      <c r="E14" s="145"/>
      <c r="F14" s="146"/>
      <c r="G14" s="141" t="s">
        <v>197</v>
      </c>
      <c r="H14" s="142"/>
      <c r="I14" s="142"/>
      <c r="J14" s="142"/>
      <c r="K14" s="142"/>
      <c r="L14" s="142"/>
      <c r="M14" s="142"/>
      <c r="N14" s="143"/>
      <c r="O14" s="81" t="s">
        <v>3183</v>
      </c>
      <c r="P14" s="134" t="s">
        <v>1870</v>
      </c>
      <c r="Q14" s="135"/>
      <c r="R14" s="135"/>
      <c r="S14" s="135"/>
      <c r="T14" s="135"/>
      <c r="U14" s="135"/>
      <c r="V14" s="135"/>
      <c r="W14" s="135"/>
      <c r="X14" s="135"/>
      <c r="Y14" s="135"/>
      <c r="Z14" s="135"/>
      <c r="AA14" s="135"/>
      <c r="AB14" s="135"/>
      <c r="AC14" s="135"/>
      <c r="AD14" s="136"/>
      <c r="AE14" s="137" t="str">
        <f t="shared" ca="1" si="9"/>
        <v>azn_202310_backup_mart_2riyo_patient_id_dpc</v>
      </c>
      <c r="AF14" s="138"/>
      <c r="AG14" s="138"/>
      <c r="AH14" s="138"/>
      <c r="AI14" s="138"/>
      <c r="AJ14" s="138"/>
      <c r="AK14" s="138"/>
      <c r="AL14" s="139"/>
      <c r="AM14" s="137" t="str">
        <f t="shared" ca="1" si="10"/>
        <v>二次利用DB登録患者データ_DPCテーブルから組入れ条件の第一条件で絞り込んだ結果を格納するテーブル</v>
      </c>
      <c r="AN14" s="138"/>
      <c r="AO14" s="138"/>
      <c r="AP14" s="138"/>
      <c r="AQ14" s="138"/>
      <c r="AR14" s="138"/>
      <c r="AS14" s="138"/>
      <c r="AT14" s="138"/>
      <c r="AU14" s="138"/>
      <c r="AV14" s="138"/>
      <c r="AW14" s="138"/>
      <c r="AX14" s="138"/>
      <c r="AY14" s="138"/>
      <c r="AZ14" s="138"/>
      <c r="BA14" s="138"/>
      <c r="BB14" s="138"/>
      <c r="BC14" s="138"/>
      <c r="BD14" s="138"/>
      <c r="BE14" s="138"/>
      <c r="BF14" s="138"/>
      <c r="BG14" s="138"/>
      <c r="BH14" s="138"/>
      <c r="BI14" s="138"/>
      <c r="BJ14" s="140"/>
      <c r="BK14" s="32" t="str">
        <f t="shared" si="11"/>
        <v>ENT_01_A1-08_バックアップ_二次利用DB登録患者データ_DPC.sql</v>
      </c>
    </row>
    <row r="15" spans="1:64" ht="37.5" hidden="1" customHeight="1" outlineLevel="1">
      <c r="A15" s="34" t="str">
        <f t="shared" si="7"/>
        <v>バックアップ_二次利用DB登録患者データ_レセプト</v>
      </c>
      <c r="B15" s="144" t="str">
        <f t="shared" si="8"/>
        <v>01</v>
      </c>
      <c r="C15" s="145"/>
      <c r="D15" s="145"/>
      <c r="E15" s="145"/>
      <c r="F15" s="146"/>
      <c r="G15" s="141" t="s">
        <v>197</v>
      </c>
      <c r="H15" s="142"/>
      <c r="I15" s="142"/>
      <c r="J15" s="142"/>
      <c r="K15" s="142"/>
      <c r="L15" s="142"/>
      <c r="M15" s="142"/>
      <c r="N15" s="143"/>
      <c r="O15" s="81" t="s">
        <v>3184</v>
      </c>
      <c r="P15" s="134" t="s">
        <v>1880</v>
      </c>
      <c r="Q15" s="135"/>
      <c r="R15" s="135"/>
      <c r="S15" s="135"/>
      <c r="T15" s="135"/>
      <c r="U15" s="135"/>
      <c r="V15" s="135"/>
      <c r="W15" s="135"/>
      <c r="X15" s="135"/>
      <c r="Y15" s="135"/>
      <c r="Z15" s="135"/>
      <c r="AA15" s="135"/>
      <c r="AB15" s="135"/>
      <c r="AC15" s="135"/>
      <c r="AD15" s="136"/>
      <c r="AE15" s="137" t="str">
        <f t="shared" ca="1" si="9"/>
        <v>azn_202310_backup_mart_2riyo_patient_id_rcp</v>
      </c>
      <c r="AF15" s="138"/>
      <c r="AG15" s="138"/>
      <c r="AH15" s="138"/>
      <c r="AI15" s="138"/>
      <c r="AJ15" s="138"/>
      <c r="AK15" s="138"/>
      <c r="AL15" s="139"/>
      <c r="AM15" s="137" t="str">
        <f t="shared" ca="1" si="10"/>
        <v>二次利用DB登録患者データ_レセプトテーブルから組入れ条件の第一条件で絞り込んだ結果を格納するテーブル</v>
      </c>
      <c r="AN15" s="138"/>
      <c r="AO15" s="138"/>
      <c r="AP15" s="138"/>
      <c r="AQ15" s="138"/>
      <c r="AR15" s="138"/>
      <c r="AS15" s="138"/>
      <c r="AT15" s="138"/>
      <c r="AU15" s="138"/>
      <c r="AV15" s="138"/>
      <c r="AW15" s="138"/>
      <c r="AX15" s="138"/>
      <c r="AY15" s="138"/>
      <c r="AZ15" s="138"/>
      <c r="BA15" s="138"/>
      <c r="BB15" s="138"/>
      <c r="BC15" s="138"/>
      <c r="BD15" s="138"/>
      <c r="BE15" s="138"/>
      <c r="BF15" s="138"/>
      <c r="BG15" s="138"/>
      <c r="BH15" s="138"/>
      <c r="BI15" s="138"/>
      <c r="BJ15" s="140"/>
      <c r="BK15" s="32" t="str">
        <f t="shared" si="11"/>
        <v>ENT_01_A1-09_バックアップ_二次利用DB登録患者データ_レセプト.sql</v>
      </c>
    </row>
    <row r="16" spans="1:64" ht="37.5" hidden="1" customHeight="1" outlineLevel="1">
      <c r="A16" s="34" t="str">
        <f t="shared" si="7"/>
        <v>バックアップ_二次利用DB登録患者データ_MML</v>
      </c>
      <c r="B16" s="144" t="str">
        <f t="shared" si="8"/>
        <v>01</v>
      </c>
      <c r="C16" s="145"/>
      <c r="D16" s="145"/>
      <c r="E16" s="145"/>
      <c r="F16" s="146"/>
      <c r="G16" s="141" t="s">
        <v>197</v>
      </c>
      <c r="H16" s="142"/>
      <c r="I16" s="142"/>
      <c r="J16" s="142"/>
      <c r="K16" s="142"/>
      <c r="L16" s="142"/>
      <c r="M16" s="142"/>
      <c r="N16" s="143"/>
      <c r="O16" s="81" t="s">
        <v>3185</v>
      </c>
      <c r="P16" s="134" t="s">
        <v>1883</v>
      </c>
      <c r="Q16" s="135"/>
      <c r="R16" s="135"/>
      <c r="S16" s="135"/>
      <c r="T16" s="135"/>
      <c r="U16" s="135"/>
      <c r="V16" s="135"/>
      <c r="W16" s="135"/>
      <c r="X16" s="135"/>
      <c r="Y16" s="135"/>
      <c r="Z16" s="135"/>
      <c r="AA16" s="135"/>
      <c r="AB16" s="135"/>
      <c r="AC16" s="135"/>
      <c r="AD16" s="136"/>
      <c r="AE16" s="137" t="str">
        <f t="shared" ca="1" si="9"/>
        <v>azn_202310_backup_mart_2riyo_patient_id_mml</v>
      </c>
      <c r="AF16" s="138"/>
      <c r="AG16" s="138"/>
      <c r="AH16" s="138"/>
      <c r="AI16" s="138"/>
      <c r="AJ16" s="138"/>
      <c r="AK16" s="138"/>
      <c r="AL16" s="139"/>
      <c r="AM16" s="137" t="str">
        <f t="shared" ca="1" si="10"/>
        <v>二次利用DB登録患者データ_MMLテーブルから組入れ条件の第一条件で絞り込んだ結果を格納するテーブル</v>
      </c>
      <c r="AN16" s="138"/>
      <c r="AO16" s="138"/>
      <c r="AP16" s="138"/>
      <c r="AQ16" s="138"/>
      <c r="AR16" s="138"/>
      <c r="AS16" s="138"/>
      <c r="AT16" s="138"/>
      <c r="AU16" s="138"/>
      <c r="AV16" s="138"/>
      <c r="AW16" s="138"/>
      <c r="AX16" s="138"/>
      <c r="AY16" s="138"/>
      <c r="AZ16" s="138"/>
      <c r="BA16" s="138"/>
      <c r="BB16" s="138"/>
      <c r="BC16" s="138"/>
      <c r="BD16" s="138"/>
      <c r="BE16" s="138"/>
      <c r="BF16" s="138"/>
      <c r="BG16" s="138"/>
      <c r="BH16" s="138"/>
      <c r="BI16" s="138"/>
      <c r="BJ16" s="140"/>
      <c r="BK16" s="32" t="str">
        <f t="shared" si="11"/>
        <v>ENT_01_A1-10_バックアップ_二次利用DB登録患者データ_MML.sql</v>
      </c>
    </row>
    <row r="17" spans="1:64" ht="37.5" hidden="1" customHeight="1" outlineLevel="1">
      <c r="A17" s="34" t="str">
        <f t="shared" si="7"/>
        <v>バックアップ_二次利用DB登録患者紐付けデータ</v>
      </c>
      <c r="B17" s="144" t="str">
        <f t="shared" si="8"/>
        <v>01</v>
      </c>
      <c r="C17" s="145"/>
      <c r="D17" s="145"/>
      <c r="E17" s="145"/>
      <c r="F17" s="146"/>
      <c r="G17" s="141" t="s">
        <v>197</v>
      </c>
      <c r="H17" s="142"/>
      <c r="I17" s="142"/>
      <c r="J17" s="142"/>
      <c r="K17" s="142"/>
      <c r="L17" s="142"/>
      <c r="M17" s="142"/>
      <c r="N17" s="143"/>
      <c r="O17" s="81" t="s">
        <v>3186</v>
      </c>
      <c r="P17" s="134" t="s">
        <v>1887</v>
      </c>
      <c r="Q17" s="135"/>
      <c r="R17" s="135"/>
      <c r="S17" s="135"/>
      <c r="T17" s="135"/>
      <c r="U17" s="135"/>
      <c r="V17" s="135"/>
      <c r="W17" s="135"/>
      <c r="X17" s="135"/>
      <c r="Y17" s="135"/>
      <c r="Z17" s="135"/>
      <c r="AA17" s="135"/>
      <c r="AB17" s="135"/>
      <c r="AC17" s="135"/>
      <c r="AD17" s="136"/>
      <c r="AE17" s="137" t="str">
        <f t="shared" ca="1" si="9"/>
        <v>azn_202310_backup_mart_2riyo_patient_himoduke</v>
      </c>
      <c r="AF17" s="138"/>
      <c r="AG17" s="138"/>
      <c r="AH17" s="138"/>
      <c r="AI17" s="138"/>
      <c r="AJ17" s="138"/>
      <c r="AK17" s="138"/>
      <c r="AL17" s="139"/>
      <c r="AM17" s="137" t="str">
        <f t="shared" ca="1" si="10"/>
        <v>二次利用DB登録患者紐付けデータテーブルから組入れ条件の第一条件で絞り込んだ結果を格納するテーブル</v>
      </c>
      <c r="AN17" s="138"/>
      <c r="AO17" s="138"/>
      <c r="AP17" s="138"/>
      <c r="AQ17" s="138"/>
      <c r="AR17" s="138"/>
      <c r="AS17" s="138"/>
      <c r="AT17" s="138"/>
      <c r="AU17" s="138"/>
      <c r="AV17" s="138"/>
      <c r="AW17" s="138"/>
      <c r="AX17" s="138"/>
      <c r="AY17" s="138"/>
      <c r="AZ17" s="138"/>
      <c r="BA17" s="138"/>
      <c r="BB17" s="138"/>
      <c r="BC17" s="138"/>
      <c r="BD17" s="138"/>
      <c r="BE17" s="138"/>
      <c r="BF17" s="138"/>
      <c r="BG17" s="138"/>
      <c r="BH17" s="138"/>
      <c r="BI17" s="138"/>
      <c r="BJ17" s="140"/>
      <c r="BK17" s="32" t="str">
        <f t="shared" si="11"/>
        <v>ENT_01_A1-11_バックアップ_二次利用DB登録患者紐付けデータ.sql</v>
      </c>
    </row>
    <row r="18" spans="1:64" ht="37.5" hidden="1" customHeight="1" outlineLevel="1">
      <c r="A18" s="34" t="str">
        <f t="shared" si="7"/>
        <v>バックアップ_エラー患者データ</v>
      </c>
      <c r="B18" s="144" t="str">
        <f t="shared" si="8"/>
        <v>01</v>
      </c>
      <c r="C18" s="145"/>
      <c r="D18" s="145"/>
      <c r="E18" s="145"/>
      <c r="F18" s="146"/>
      <c r="G18" s="141" t="s">
        <v>197</v>
      </c>
      <c r="H18" s="142"/>
      <c r="I18" s="142"/>
      <c r="J18" s="142"/>
      <c r="K18" s="142"/>
      <c r="L18" s="142"/>
      <c r="M18" s="142"/>
      <c r="N18" s="143"/>
      <c r="O18" s="81" t="s">
        <v>3187</v>
      </c>
      <c r="P18" s="134" t="s">
        <v>1893</v>
      </c>
      <c r="Q18" s="135"/>
      <c r="R18" s="135"/>
      <c r="S18" s="135"/>
      <c r="T18" s="135"/>
      <c r="U18" s="135"/>
      <c r="V18" s="135"/>
      <c r="W18" s="135"/>
      <c r="X18" s="135"/>
      <c r="Y18" s="135"/>
      <c r="Z18" s="135"/>
      <c r="AA18" s="135"/>
      <c r="AB18" s="135"/>
      <c r="AC18" s="135"/>
      <c r="AD18" s="136"/>
      <c r="AE18" s="137" t="str">
        <f t="shared" ca="1" si="9"/>
        <v>azn_202310_backup_mart_error_patient</v>
      </c>
      <c r="AF18" s="138"/>
      <c r="AG18" s="138"/>
      <c r="AH18" s="138"/>
      <c r="AI18" s="138"/>
      <c r="AJ18" s="138"/>
      <c r="AK18" s="138"/>
      <c r="AL18" s="139"/>
      <c r="AM18" s="137" t="str">
        <f t="shared" ca="1" si="10"/>
        <v>エラー患者データテーブルから組入れ条件の第一条件で絞り込んだ結果を格納するテーブル</v>
      </c>
      <c r="AN18" s="138"/>
      <c r="AO18" s="138"/>
      <c r="AP18" s="138"/>
      <c r="AQ18" s="138"/>
      <c r="AR18" s="138"/>
      <c r="AS18" s="138"/>
      <c r="AT18" s="138"/>
      <c r="AU18" s="138"/>
      <c r="AV18" s="138"/>
      <c r="AW18" s="138"/>
      <c r="AX18" s="138"/>
      <c r="AY18" s="138"/>
      <c r="AZ18" s="138"/>
      <c r="BA18" s="138"/>
      <c r="BB18" s="138"/>
      <c r="BC18" s="138"/>
      <c r="BD18" s="138"/>
      <c r="BE18" s="138"/>
      <c r="BF18" s="138"/>
      <c r="BG18" s="138"/>
      <c r="BH18" s="138"/>
      <c r="BI18" s="138"/>
      <c r="BJ18" s="140"/>
      <c r="BK18" s="32" t="str">
        <f t="shared" si="11"/>
        <v>ENT_01_A1-13_バックアップ_エラー患者データ.sql</v>
      </c>
    </row>
    <row r="19" spans="1:64" ht="37.5" hidden="1" customHeight="1" outlineLevel="1">
      <c r="A19" s="34" t="str">
        <f t="shared" si="7"/>
        <v>バックアップ_患者基本データ</v>
      </c>
      <c r="B19" s="144" t="str">
        <f t="shared" si="8"/>
        <v>01</v>
      </c>
      <c r="C19" s="145"/>
      <c r="D19" s="145"/>
      <c r="E19" s="145"/>
      <c r="F19" s="146"/>
      <c r="G19" s="141" t="s">
        <v>197</v>
      </c>
      <c r="H19" s="142"/>
      <c r="I19" s="142"/>
      <c r="J19" s="142"/>
      <c r="K19" s="142"/>
      <c r="L19" s="142"/>
      <c r="M19" s="142"/>
      <c r="N19" s="143"/>
      <c r="O19" s="81" t="s">
        <v>3188</v>
      </c>
      <c r="P19" s="134" t="s">
        <v>1894</v>
      </c>
      <c r="Q19" s="135"/>
      <c r="R19" s="135"/>
      <c r="S19" s="135"/>
      <c r="T19" s="135"/>
      <c r="U19" s="135"/>
      <c r="V19" s="135"/>
      <c r="W19" s="135"/>
      <c r="X19" s="135"/>
      <c r="Y19" s="135"/>
      <c r="Z19" s="135"/>
      <c r="AA19" s="135"/>
      <c r="AB19" s="135"/>
      <c r="AC19" s="135"/>
      <c r="AD19" s="136"/>
      <c r="AE19" s="137" t="str">
        <f t="shared" ca="1" si="9"/>
        <v>azn_202310_backup_mart_patient_basic</v>
      </c>
      <c r="AF19" s="138"/>
      <c r="AG19" s="138"/>
      <c r="AH19" s="138"/>
      <c r="AI19" s="138"/>
      <c r="AJ19" s="138"/>
      <c r="AK19" s="138"/>
      <c r="AL19" s="139"/>
      <c r="AM19" s="137" t="str">
        <f t="shared" ca="1" si="10"/>
        <v>患者基本データテーブルから組入れ条件の第一条件で絞り込んだ結果を格納するテーブル</v>
      </c>
      <c r="AN19" s="138"/>
      <c r="AO19" s="138"/>
      <c r="AP19" s="138"/>
      <c r="AQ19" s="138"/>
      <c r="AR19" s="138"/>
      <c r="AS19" s="138"/>
      <c r="AT19" s="138"/>
      <c r="AU19" s="138"/>
      <c r="AV19" s="138"/>
      <c r="AW19" s="138"/>
      <c r="AX19" s="138"/>
      <c r="AY19" s="138"/>
      <c r="AZ19" s="138"/>
      <c r="BA19" s="138"/>
      <c r="BB19" s="138"/>
      <c r="BC19" s="138"/>
      <c r="BD19" s="138"/>
      <c r="BE19" s="138"/>
      <c r="BF19" s="138"/>
      <c r="BG19" s="138"/>
      <c r="BH19" s="138"/>
      <c r="BI19" s="138"/>
      <c r="BJ19" s="140"/>
      <c r="BK19" s="32" t="str">
        <f t="shared" si="11"/>
        <v>ENT_01_A1-14_バックアップ_患者基本データ.sql</v>
      </c>
      <c r="BL19" s="32">
        <v>1</v>
      </c>
    </row>
    <row r="20" spans="1:64" ht="37.5" hidden="1" customHeight="1" outlineLevel="1">
      <c r="A20" s="34" t="str">
        <f t="shared" ref="A20:A71" si="12">P20</f>
        <v>バックアップ_施設属性マスタ取込用</v>
      </c>
      <c r="B20" s="144" t="str">
        <f t="shared" si="8"/>
        <v>01</v>
      </c>
      <c r="C20" s="145"/>
      <c r="D20" s="145"/>
      <c r="E20" s="145"/>
      <c r="F20" s="146"/>
      <c r="G20" s="141" t="s">
        <v>197</v>
      </c>
      <c r="H20" s="142"/>
      <c r="I20" s="142"/>
      <c r="J20" s="142"/>
      <c r="K20" s="142"/>
      <c r="L20" s="142"/>
      <c r="M20" s="142"/>
      <c r="N20" s="143"/>
      <c r="O20" s="81" t="s">
        <v>3189</v>
      </c>
      <c r="P20" s="134" t="s">
        <v>1900</v>
      </c>
      <c r="Q20" s="135"/>
      <c r="R20" s="135"/>
      <c r="S20" s="135"/>
      <c r="T20" s="135"/>
      <c r="U20" s="135"/>
      <c r="V20" s="135"/>
      <c r="W20" s="135"/>
      <c r="X20" s="135"/>
      <c r="Y20" s="135"/>
      <c r="Z20" s="135"/>
      <c r="AA20" s="135"/>
      <c r="AB20" s="135"/>
      <c r="AC20" s="135"/>
      <c r="AD20" s="136"/>
      <c r="AE20" s="137" t="str">
        <f t="shared" ref="AE20:AE71" ca="1" si="13">IFERROR(INDIRECT(P20&amp;"!D8"),"")</f>
        <v>azn_202310_backup_mt_shisetsu_zokusei</v>
      </c>
      <c r="AF20" s="138"/>
      <c r="AG20" s="138"/>
      <c r="AH20" s="138"/>
      <c r="AI20" s="138"/>
      <c r="AJ20" s="138"/>
      <c r="AK20" s="138"/>
      <c r="AL20" s="139"/>
      <c r="AM20" s="137" t="str">
        <f t="shared" ref="AM20:AM71" ca="1" si="14">IFERROR(INDIRECT(P20&amp;"!D9"),"")</f>
        <v>施設属性マスタ取込用テーブルから組入れ条件の第一条件で絞り込んだ結果を格納するテーブル</v>
      </c>
      <c r="AN20" s="138"/>
      <c r="AO20" s="138"/>
      <c r="AP20" s="138"/>
      <c r="AQ20" s="138"/>
      <c r="AR20" s="138"/>
      <c r="AS20" s="138"/>
      <c r="AT20" s="138"/>
      <c r="AU20" s="138"/>
      <c r="AV20" s="138"/>
      <c r="AW20" s="138"/>
      <c r="AX20" s="138"/>
      <c r="AY20" s="138"/>
      <c r="AZ20" s="138"/>
      <c r="BA20" s="138"/>
      <c r="BB20" s="138"/>
      <c r="BC20" s="138"/>
      <c r="BD20" s="138"/>
      <c r="BE20" s="138"/>
      <c r="BF20" s="138"/>
      <c r="BG20" s="138"/>
      <c r="BH20" s="138"/>
      <c r="BI20" s="138"/>
      <c r="BJ20" s="140"/>
      <c r="BK20" s="32" t="str">
        <f t="shared" ref="BK20:BK25" si="15">IF(P20&lt;&gt;"",O20&amp;"_"&amp;P20&amp;".sql","")</f>
        <v>ENT_01_A3-02_バックアップ_施設属性マスタ取込用.sql</v>
      </c>
    </row>
    <row r="21" spans="1:64" ht="37.5" hidden="1" customHeight="1" outlineLevel="1">
      <c r="A21" s="34" t="str">
        <f t="shared" si="12"/>
        <v>バックアップ_二次医療圏マスタ取込用</v>
      </c>
      <c r="B21" s="144" t="str">
        <f t="shared" si="8"/>
        <v>01</v>
      </c>
      <c r="C21" s="145"/>
      <c r="D21" s="145"/>
      <c r="E21" s="145"/>
      <c r="F21" s="146"/>
      <c r="G21" s="141" t="s">
        <v>197</v>
      </c>
      <c r="H21" s="142"/>
      <c r="I21" s="142"/>
      <c r="J21" s="142"/>
      <c r="K21" s="142"/>
      <c r="L21" s="142"/>
      <c r="M21" s="142"/>
      <c r="N21" s="143"/>
      <c r="O21" s="81" t="s">
        <v>3190</v>
      </c>
      <c r="P21" s="134" t="s">
        <v>1936</v>
      </c>
      <c r="Q21" s="135"/>
      <c r="R21" s="135"/>
      <c r="S21" s="135"/>
      <c r="T21" s="135"/>
      <c r="U21" s="135"/>
      <c r="V21" s="135"/>
      <c r="W21" s="135"/>
      <c r="X21" s="135"/>
      <c r="Y21" s="135"/>
      <c r="Z21" s="135"/>
      <c r="AA21" s="135"/>
      <c r="AB21" s="135"/>
      <c r="AC21" s="135"/>
      <c r="AD21" s="136"/>
      <c r="AE21" s="137" t="str">
        <f t="shared" ca="1" si="13"/>
        <v>azn_202310_backup_mt_iryouken2</v>
      </c>
      <c r="AF21" s="138"/>
      <c r="AG21" s="138"/>
      <c r="AH21" s="138"/>
      <c r="AI21" s="138"/>
      <c r="AJ21" s="138"/>
      <c r="AK21" s="138"/>
      <c r="AL21" s="139"/>
      <c r="AM21" s="137" t="str">
        <f t="shared" ca="1" si="14"/>
        <v>二次医療圏マスタ取込用テーブルから組入れ条件の第一条件で絞り込んだ結果を格納するテーブル</v>
      </c>
      <c r="AN21" s="138"/>
      <c r="AO21" s="138"/>
      <c r="AP21" s="138"/>
      <c r="AQ21" s="138"/>
      <c r="AR21" s="138"/>
      <c r="AS21" s="138"/>
      <c r="AT21" s="138"/>
      <c r="AU21" s="138"/>
      <c r="AV21" s="138"/>
      <c r="AW21" s="138"/>
      <c r="AX21" s="138"/>
      <c r="AY21" s="138"/>
      <c r="AZ21" s="138"/>
      <c r="BA21" s="138"/>
      <c r="BB21" s="138"/>
      <c r="BC21" s="138"/>
      <c r="BD21" s="138"/>
      <c r="BE21" s="138"/>
      <c r="BF21" s="138"/>
      <c r="BG21" s="138"/>
      <c r="BH21" s="138"/>
      <c r="BI21" s="138"/>
      <c r="BJ21" s="140"/>
      <c r="BK21" s="32" t="str">
        <f t="shared" si="15"/>
        <v>ENT_01_A3-03_バックアップ_二次医療圏マスタ取込用.sql</v>
      </c>
    </row>
    <row r="22" spans="1:64" ht="37.5" hidden="1" customHeight="1" outlineLevel="1">
      <c r="A22" s="34" t="str">
        <f t="shared" si="12"/>
        <v>バックアップ_新旧医薬品コードマスタ取込用</v>
      </c>
      <c r="B22" s="144" t="str">
        <f t="shared" si="8"/>
        <v>01</v>
      </c>
      <c r="C22" s="145"/>
      <c r="D22" s="145"/>
      <c r="E22" s="145"/>
      <c r="F22" s="146"/>
      <c r="G22" s="141" t="s">
        <v>197</v>
      </c>
      <c r="H22" s="142"/>
      <c r="I22" s="142"/>
      <c r="J22" s="142"/>
      <c r="K22" s="142"/>
      <c r="L22" s="142"/>
      <c r="M22" s="142"/>
      <c r="N22" s="143"/>
      <c r="O22" s="81" t="s">
        <v>3191</v>
      </c>
      <c r="P22" s="134" t="s">
        <v>1956</v>
      </c>
      <c r="Q22" s="135"/>
      <c r="R22" s="135"/>
      <c r="S22" s="135"/>
      <c r="T22" s="135"/>
      <c r="U22" s="135"/>
      <c r="V22" s="135"/>
      <c r="W22" s="135"/>
      <c r="X22" s="135"/>
      <c r="Y22" s="135"/>
      <c r="Z22" s="135"/>
      <c r="AA22" s="135"/>
      <c r="AB22" s="135"/>
      <c r="AC22" s="135"/>
      <c r="AD22" s="136"/>
      <c r="AE22" s="137" t="str">
        <f t="shared" ca="1" si="13"/>
        <v>azn_202310_backup_mt_old_new_iyakuhin</v>
      </c>
      <c r="AF22" s="138"/>
      <c r="AG22" s="138"/>
      <c r="AH22" s="138"/>
      <c r="AI22" s="138"/>
      <c r="AJ22" s="138"/>
      <c r="AK22" s="138"/>
      <c r="AL22" s="139"/>
      <c r="AM22" s="137" t="str">
        <f t="shared" ca="1" si="14"/>
        <v>新旧医薬品コードマスタ取込用テーブルから組入れ条件の第一条件で絞り込んだ結果を格納するテーブル</v>
      </c>
      <c r="AN22" s="138"/>
      <c r="AO22" s="138"/>
      <c r="AP22" s="138"/>
      <c r="AQ22" s="138"/>
      <c r="AR22" s="138"/>
      <c r="AS22" s="138"/>
      <c r="AT22" s="138"/>
      <c r="AU22" s="138"/>
      <c r="AV22" s="138"/>
      <c r="AW22" s="138"/>
      <c r="AX22" s="138"/>
      <c r="AY22" s="138"/>
      <c r="AZ22" s="138"/>
      <c r="BA22" s="138"/>
      <c r="BB22" s="138"/>
      <c r="BC22" s="138"/>
      <c r="BD22" s="138"/>
      <c r="BE22" s="138"/>
      <c r="BF22" s="138"/>
      <c r="BG22" s="138"/>
      <c r="BH22" s="138"/>
      <c r="BI22" s="138"/>
      <c r="BJ22" s="140"/>
      <c r="BK22" s="32" t="str">
        <f t="shared" si="15"/>
        <v>ENT_01_A3-04_バックアップ_新旧医薬品コードマスタ取込用.sql</v>
      </c>
    </row>
    <row r="23" spans="1:64" ht="37.5" hidden="1" customHeight="1" outlineLevel="1">
      <c r="A23" s="34" t="str">
        <f t="shared" si="12"/>
        <v>バックアップ_DPC6ICD10対応表マスタ取込用</v>
      </c>
      <c r="B23" s="144" t="str">
        <f t="shared" si="8"/>
        <v>01</v>
      </c>
      <c r="C23" s="145"/>
      <c r="D23" s="145"/>
      <c r="E23" s="145"/>
      <c r="F23" s="146"/>
      <c r="G23" s="141" t="s">
        <v>197</v>
      </c>
      <c r="H23" s="142"/>
      <c r="I23" s="142"/>
      <c r="J23" s="142"/>
      <c r="K23" s="142"/>
      <c r="L23" s="142"/>
      <c r="M23" s="142"/>
      <c r="N23" s="143"/>
      <c r="O23" s="81" t="s">
        <v>3192</v>
      </c>
      <c r="P23" s="134" t="s">
        <v>1970</v>
      </c>
      <c r="Q23" s="135"/>
      <c r="R23" s="135"/>
      <c r="S23" s="135"/>
      <c r="T23" s="135"/>
      <c r="U23" s="135"/>
      <c r="V23" s="135"/>
      <c r="W23" s="135"/>
      <c r="X23" s="135"/>
      <c r="Y23" s="135"/>
      <c r="Z23" s="135"/>
      <c r="AA23" s="135"/>
      <c r="AB23" s="135"/>
      <c r="AC23" s="135"/>
      <c r="AD23" s="136"/>
      <c r="AE23" s="137" t="str">
        <f t="shared" ca="1" si="13"/>
        <v>azn_202310_backup_mt_dpc6_icd</v>
      </c>
      <c r="AF23" s="138"/>
      <c r="AG23" s="138"/>
      <c r="AH23" s="138"/>
      <c r="AI23" s="138"/>
      <c r="AJ23" s="138"/>
      <c r="AK23" s="138"/>
      <c r="AL23" s="139"/>
      <c r="AM23" s="137" t="str">
        <f t="shared" ca="1" si="14"/>
        <v>DPC6ICD10対応表マスタ取込用テーブルから組入れ条件の第一条件で絞り込んだ結果を格納するテーブル</v>
      </c>
      <c r="AN23" s="138"/>
      <c r="AO23" s="138"/>
      <c r="AP23" s="138"/>
      <c r="AQ23" s="138"/>
      <c r="AR23" s="138"/>
      <c r="AS23" s="138"/>
      <c r="AT23" s="138"/>
      <c r="AU23" s="138"/>
      <c r="AV23" s="138"/>
      <c r="AW23" s="138"/>
      <c r="AX23" s="138"/>
      <c r="AY23" s="138"/>
      <c r="AZ23" s="138"/>
      <c r="BA23" s="138"/>
      <c r="BB23" s="138"/>
      <c r="BC23" s="138"/>
      <c r="BD23" s="138"/>
      <c r="BE23" s="138"/>
      <c r="BF23" s="138"/>
      <c r="BG23" s="138"/>
      <c r="BH23" s="138"/>
      <c r="BI23" s="138"/>
      <c r="BJ23" s="140"/>
      <c r="BK23" s="32" t="str">
        <f t="shared" si="15"/>
        <v>ENT_01_A3-05_バックアップ_DPC6ICD10対応表マスタ取込用.sql</v>
      </c>
    </row>
    <row r="24" spans="1:64" ht="37.5" hidden="1" customHeight="1" outlineLevel="1">
      <c r="A24" s="34" t="str">
        <f t="shared" si="12"/>
        <v>バックアップ_修飾語マスタ取込用</v>
      </c>
      <c r="B24" s="144" t="str">
        <f t="shared" si="8"/>
        <v>01</v>
      </c>
      <c r="C24" s="145"/>
      <c r="D24" s="145"/>
      <c r="E24" s="145"/>
      <c r="F24" s="146"/>
      <c r="G24" s="141" t="s">
        <v>197</v>
      </c>
      <c r="H24" s="142"/>
      <c r="I24" s="142"/>
      <c r="J24" s="142"/>
      <c r="K24" s="142"/>
      <c r="L24" s="142"/>
      <c r="M24" s="142"/>
      <c r="N24" s="143"/>
      <c r="O24" s="81" t="s">
        <v>3193</v>
      </c>
      <c r="P24" s="134" t="s">
        <v>1988</v>
      </c>
      <c r="Q24" s="135"/>
      <c r="R24" s="135"/>
      <c r="S24" s="135"/>
      <c r="T24" s="135"/>
      <c r="U24" s="135"/>
      <c r="V24" s="135"/>
      <c r="W24" s="135"/>
      <c r="X24" s="135"/>
      <c r="Y24" s="135"/>
      <c r="Z24" s="135"/>
      <c r="AA24" s="135"/>
      <c r="AB24" s="135"/>
      <c r="AC24" s="135"/>
      <c r="AD24" s="136"/>
      <c r="AE24" s="137" t="str">
        <f t="shared" ca="1" si="13"/>
        <v>azn_202310_backup_mt_syusyokugo</v>
      </c>
      <c r="AF24" s="138"/>
      <c r="AG24" s="138"/>
      <c r="AH24" s="138"/>
      <c r="AI24" s="138"/>
      <c r="AJ24" s="138"/>
      <c r="AK24" s="138"/>
      <c r="AL24" s="139"/>
      <c r="AM24" s="137" t="str">
        <f t="shared" ca="1" si="14"/>
        <v>修飾語マスタ取込用テーブルから組入れ条件の第一条件で絞り込んだ結果を格納するテーブル</v>
      </c>
      <c r="AN24" s="138"/>
      <c r="AO24" s="138"/>
      <c r="AP24" s="138"/>
      <c r="AQ24" s="138"/>
      <c r="AR24" s="138"/>
      <c r="AS24" s="138"/>
      <c r="AT24" s="138"/>
      <c r="AU24" s="138"/>
      <c r="AV24" s="138"/>
      <c r="AW24" s="138"/>
      <c r="AX24" s="138"/>
      <c r="AY24" s="138"/>
      <c r="AZ24" s="138"/>
      <c r="BA24" s="138"/>
      <c r="BB24" s="138"/>
      <c r="BC24" s="138"/>
      <c r="BD24" s="138"/>
      <c r="BE24" s="138"/>
      <c r="BF24" s="138"/>
      <c r="BG24" s="138"/>
      <c r="BH24" s="138"/>
      <c r="BI24" s="138"/>
      <c r="BJ24" s="140"/>
      <c r="BK24" s="32" t="str">
        <f t="shared" si="15"/>
        <v>ENT_01_A3-06_バックアップ_修飾語マスタ取込用.sql</v>
      </c>
    </row>
    <row r="25" spans="1:64" ht="37.5" hidden="1" customHeight="1" outlineLevel="1">
      <c r="A25" s="34" t="str">
        <f t="shared" si="12"/>
        <v>バックアップ_コメントマスタ取込用</v>
      </c>
      <c r="B25" s="144" t="str">
        <f t="shared" si="8"/>
        <v>01</v>
      </c>
      <c r="C25" s="145"/>
      <c r="D25" s="145"/>
      <c r="E25" s="145"/>
      <c r="F25" s="146"/>
      <c r="G25" s="141" t="s">
        <v>197</v>
      </c>
      <c r="H25" s="142"/>
      <c r="I25" s="142"/>
      <c r="J25" s="142"/>
      <c r="K25" s="142"/>
      <c r="L25" s="142"/>
      <c r="M25" s="142"/>
      <c r="N25" s="143"/>
      <c r="O25" s="81" t="s">
        <v>3194</v>
      </c>
      <c r="P25" s="134" t="s">
        <v>2025</v>
      </c>
      <c r="Q25" s="135"/>
      <c r="R25" s="135"/>
      <c r="S25" s="135"/>
      <c r="T25" s="135"/>
      <c r="U25" s="135"/>
      <c r="V25" s="135"/>
      <c r="W25" s="135"/>
      <c r="X25" s="135"/>
      <c r="Y25" s="135"/>
      <c r="Z25" s="135"/>
      <c r="AA25" s="135"/>
      <c r="AB25" s="135"/>
      <c r="AC25" s="135"/>
      <c r="AD25" s="136"/>
      <c r="AE25" s="137" t="str">
        <f t="shared" ca="1" si="13"/>
        <v>azn_202310_backup_mt_comment</v>
      </c>
      <c r="AF25" s="138"/>
      <c r="AG25" s="138"/>
      <c r="AH25" s="138"/>
      <c r="AI25" s="138"/>
      <c r="AJ25" s="138"/>
      <c r="AK25" s="138"/>
      <c r="AL25" s="139"/>
      <c r="AM25" s="137" t="str">
        <f t="shared" ca="1" si="14"/>
        <v>コメントマスタ取込用テーブルから組入れ条件の第一条件で絞り込んだ結果を格納するテーブル</v>
      </c>
      <c r="AN25" s="138"/>
      <c r="AO25" s="138"/>
      <c r="AP25" s="138"/>
      <c r="AQ25" s="138"/>
      <c r="AR25" s="138"/>
      <c r="AS25" s="138"/>
      <c r="AT25" s="138"/>
      <c r="AU25" s="138"/>
      <c r="AV25" s="138"/>
      <c r="AW25" s="138"/>
      <c r="AX25" s="138"/>
      <c r="AY25" s="138"/>
      <c r="AZ25" s="138"/>
      <c r="BA25" s="138"/>
      <c r="BB25" s="138"/>
      <c r="BC25" s="138"/>
      <c r="BD25" s="138"/>
      <c r="BE25" s="138"/>
      <c r="BF25" s="138"/>
      <c r="BG25" s="138"/>
      <c r="BH25" s="138"/>
      <c r="BI25" s="138"/>
      <c r="BJ25" s="140"/>
      <c r="BK25" s="32" t="str">
        <f t="shared" si="15"/>
        <v>ENT_01_A3-07_バックアップ_コメントマスタ取込用.sql</v>
      </c>
    </row>
    <row r="26" spans="1:64" ht="37.5" hidden="1" customHeight="1" outlineLevel="1">
      <c r="A26" s="34" t="str">
        <f t="shared" si="12"/>
        <v>バックアップ_成分量マスタ取込用</v>
      </c>
      <c r="B26" s="144" t="str">
        <f t="shared" si="8"/>
        <v>01</v>
      </c>
      <c r="C26" s="145"/>
      <c r="D26" s="145"/>
      <c r="E26" s="145"/>
      <c r="F26" s="146"/>
      <c r="G26" s="141" t="s">
        <v>197</v>
      </c>
      <c r="H26" s="142"/>
      <c r="I26" s="142"/>
      <c r="J26" s="142"/>
      <c r="K26" s="142"/>
      <c r="L26" s="142"/>
      <c r="M26" s="142"/>
      <c r="N26" s="143"/>
      <c r="O26" s="81" t="s">
        <v>3195</v>
      </c>
      <c r="P26" s="134" t="s">
        <v>2072</v>
      </c>
      <c r="Q26" s="135"/>
      <c r="R26" s="135"/>
      <c r="S26" s="135"/>
      <c r="T26" s="135"/>
      <c r="U26" s="135"/>
      <c r="V26" s="135"/>
      <c r="W26" s="135"/>
      <c r="X26" s="135"/>
      <c r="Y26" s="135"/>
      <c r="Z26" s="135"/>
      <c r="AA26" s="135"/>
      <c r="AB26" s="135"/>
      <c r="AC26" s="135"/>
      <c r="AD26" s="136"/>
      <c r="AE26" s="137" t="str">
        <f t="shared" ca="1" si="13"/>
        <v>azn_202310_backup_mt_seibunryo</v>
      </c>
      <c r="AF26" s="138"/>
      <c r="AG26" s="138"/>
      <c r="AH26" s="138"/>
      <c r="AI26" s="138"/>
      <c r="AJ26" s="138"/>
      <c r="AK26" s="138"/>
      <c r="AL26" s="139"/>
      <c r="AM26" s="137" t="str">
        <f t="shared" ca="1" si="14"/>
        <v>成分量マスタ取込用テーブルから組入れ条件の第一条件で絞り込んだ結果を格納するテーブル</v>
      </c>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40"/>
      <c r="BK26" s="32" t="str">
        <f t="shared" ref="BK26:BK77" si="16">IF(P26&lt;&gt;"",O26&amp;"_"&amp;P26&amp;".sql","")</f>
        <v>ENT_01_A3-08_バックアップ_成分量マスタ取込用.sql</v>
      </c>
    </row>
    <row r="27" spans="1:64" ht="37.5" hidden="1" customHeight="1" outlineLevel="1">
      <c r="A27" s="34" t="str">
        <f t="shared" si="12"/>
        <v>バックアップ_成分名マスタ取込用</v>
      </c>
      <c r="B27" s="144" t="str">
        <f t="shared" si="8"/>
        <v>01</v>
      </c>
      <c r="C27" s="145"/>
      <c r="D27" s="145"/>
      <c r="E27" s="145"/>
      <c r="F27" s="146"/>
      <c r="G27" s="141" t="s">
        <v>197</v>
      </c>
      <c r="H27" s="142"/>
      <c r="I27" s="142"/>
      <c r="J27" s="142"/>
      <c r="K27" s="142"/>
      <c r="L27" s="142"/>
      <c r="M27" s="142"/>
      <c r="N27" s="143"/>
      <c r="O27" s="81" t="s">
        <v>3196</v>
      </c>
      <c r="P27" s="134" t="s">
        <v>2097</v>
      </c>
      <c r="Q27" s="135"/>
      <c r="R27" s="135"/>
      <c r="S27" s="135"/>
      <c r="T27" s="135"/>
      <c r="U27" s="135"/>
      <c r="V27" s="135"/>
      <c r="W27" s="135"/>
      <c r="X27" s="135"/>
      <c r="Y27" s="135"/>
      <c r="Z27" s="135"/>
      <c r="AA27" s="135"/>
      <c r="AB27" s="135"/>
      <c r="AC27" s="135"/>
      <c r="AD27" s="136"/>
      <c r="AE27" s="137" t="str">
        <f t="shared" ca="1" si="13"/>
        <v>azn_202310_backup_mt_seibun_name</v>
      </c>
      <c r="AF27" s="138"/>
      <c r="AG27" s="138"/>
      <c r="AH27" s="138"/>
      <c r="AI27" s="138"/>
      <c r="AJ27" s="138"/>
      <c r="AK27" s="138"/>
      <c r="AL27" s="139"/>
      <c r="AM27" s="137" t="str">
        <f t="shared" ca="1" si="14"/>
        <v>成分名マスタ取込用テーブルから組入れ条件の第一条件で絞り込んだ結果を格納するテーブル</v>
      </c>
      <c r="AN27" s="138"/>
      <c r="AO27" s="138"/>
      <c r="AP27" s="138"/>
      <c r="AQ27" s="138"/>
      <c r="AR27" s="138"/>
      <c r="AS27" s="138"/>
      <c r="AT27" s="138"/>
      <c r="AU27" s="138"/>
      <c r="AV27" s="138"/>
      <c r="AW27" s="138"/>
      <c r="AX27" s="138"/>
      <c r="AY27" s="138"/>
      <c r="AZ27" s="138"/>
      <c r="BA27" s="138"/>
      <c r="BB27" s="138"/>
      <c r="BC27" s="138"/>
      <c r="BD27" s="138"/>
      <c r="BE27" s="138"/>
      <c r="BF27" s="138"/>
      <c r="BG27" s="138"/>
      <c r="BH27" s="138"/>
      <c r="BI27" s="138"/>
      <c r="BJ27" s="140"/>
      <c r="BK27" s="32" t="str">
        <f t="shared" si="16"/>
        <v>ENT_01_A3-09_バックアップ_成分名マスタ取込用.sql</v>
      </c>
    </row>
    <row r="28" spans="1:64" ht="37.5" hidden="1" customHeight="1" outlineLevel="1">
      <c r="A28" s="34" t="str">
        <f t="shared" si="12"/>
        <v>バックアップ_単位マスタ取込用</v>
      </c>
      <c r="B28" s="144" t="str">
        <f t="shared" si="8"/>
        <v>01</v>
      </c>
      <c r="C28" s="145"/>
      <c r="D28" s="145"/>
      <c r="E28" s="145"/>
      <c r="F28" s="146"/>
      <c r="G28" s="141" t="s">
        <v>197</v>
      </c>
      <c r="H28" s="142"/>
      <c r="I28" s="142"/>
      <c r="J28" s="142"/>
      <c r="K28" s="142"/>
      <c r="L28" s="142"/>
      <c r="M28" s="142"/>
      <c r="N28" s="143"/>
      <c r="O28" s="81" t="s">
        <v>3197</v>
      </c>
      <c r="P28" s="134" t="s">
        <v>2118</v>
      </c>
      <c r="Q28" s="135"/>
      <c r="R28" s="135"/>
      <c r="S28" s="135"/>
      <c r="T28" s="135"/>
      <c r="U28" s="135"/>
      <c r="V28" s="135"/>
      <c r="W28" s="135"/>
      <c r="X28" s="135"/>
      <c r="Y28" s="135"/>
      <c r="Z28" s="135"/>
      <c r="AA28" s="135"/>
      <c r="AB28" s="135"/>
      <c r="AC28" s="135"/>
      <c r="AD28" s="136"/>
      <c r="AE28" s="137" t="str">
        <f t="shared" ca="1" si="13"/>
        <v>azn_202310_backup_mt_unit</v>
      </c>
      <c r="AF28" s="138"/>
      <c r="AG28" s="138"/>
      <c r="AH28" s="138"/>
      <c r="AI28" s="138"/>
      <c r="AJ28" s="138"/>
      <c r="AK28" s="138"/>
      <c r="AL28" s="139"/>
      <c r="AM28" s="137" t="str">
        <f t="shared" ca="1" si="14"/>
        <v>単位マスタ取込用テーブルから組入れ条件の第一条件で絞り込んだ結果を格納するテーブル</v>
      </c>
      <c r="AN28" s="138"/>
      <c r="AO28" s="138"/>
      <c r="AP28" s="138"/>
      <c r="AQ28" s="138"/>
      <c r="AR28" s="138"/>
      <c r="AS28" s="138"/>
      <c r="AT28" s="138"/>
      <c r="AU28" s="138"/>
      <c r="AV28" s="138"/>
      <c r="AW28" s="138"/>
      <c r="AX28" s="138"/>
      <c r="AY28" s="138"/>
      <c r="AZ28" s="138"/>
      <c r="BA28" s="138"/>
      <c r="BB28" s="138"/>
      <c r="BC28" s="138"/>
      <c r="BD28" s="138"/>
      <c r="BE28" s="138"/>
      <c r="BF28" s="138"/>
      <c r="BG28" s="138"/>
      <c r="BH28" s="138"/>
      <c r="BI28" s="138"/>
      <c r="BJ28" s="140"/>
      <c r="BK28" s="32" t="str">
        <f t="shared" si="16"/>
        <v>ENT_01_A3-10_バックアップ_単位マスタ取込用.sql</v>
      </c>
    </row>
    <row r="29" spans="1:64" ht="37.5" hidden="1" customHeight="1" outlineLevel="1">
      <c r="A29" s="34" t="str">
        <f t="shared" si="12"/>
        <v>バックアップ_適応病名レセ病名組み合わせ関係リンクマスタ取込用</v>
      </c>
      <c r="B29" s="144" t="str">
        <f t="shared" si="8"/>
        <v>01</v>
      </c>
      <c r="C29" s="145"/>
      <c r="D29" s="145"/>
      <c r="E29" s="145"/>
      <c r="F29" s="146"/>
      <c r="G29" s="141" t="s">
        <v>197</v>
      </c>
      <c r="H29" s="142"/>
      <c r="I29" s="142"/>
      <c r="J29" s="142"/>
      <c r="K29" s="142"/>
      <c r="L29" s="142"/>
      <c r="M29" s="142"/>
      <c r="N29" s="143"/>
      <c r="O29" s="81" t="s">
        <v>3198</v>
      </c>
      <c r="P29" s="134" t="s">
        <v>2125</v>
      </c>
      <c r="Q29" s="135"/>
      <c r="R29" s="135"/>
      <c r="S29" s="135"/>
      <c r="T29" s="135"/>
      <c r="U29" s="135"/>
      <c r="V29" s="135"/>
      <c r="W29" s="135"/>
      <c r="X29" s="135"/>
      <c r="Y29" s="135"/>
      <c r="Z29" s="135"/>
      <c r="AA29" s="135"/>
      <c r="AB29" s="135"/>
      <c r="AC29" s="135"/>
      <c r="AD29" s="136"/>
      <c r="AE29" s="137" t="str">
        <f t="shared" ca="1" si="13"/>
        <v>azn_202310_backup_mt_tekiyou_recept_combi_link</v>
      </c>
      <c r="AF29" s="138"/>
      <c r="AG29" s="138"/>
      <c r="AH29" s="138"/>
      <c r="AI29" s="138"/>
      <c r="AJ29" s="138"/>
      <c r="AK29" s="138"/>
      <c r="AL29" s="139"/>
      <c r="AM29" s="137" t="str">
        <f t="shared" ca="1" si="14"/>
        <v>適応病名レセ病名組み合わせ関係リンクマスタ取込用テーブルから組入れ条件の第一条件で絞り込んだ結果を格納するテーブル</v>
      </c>
      <c r="AN29" s="138"/>
      <c r="AO29" s="138"/>
      <c r="AP29" s="138"/>
      <c r="AQ29" s="138"/>
      <c r="AR29" s="138"/>
      <c r="AS29" s="138"/>
      <c r="AT29" s="138"/>
      <c r="AU29" s="138"/>
      <c r="AV29" s="138"/>
      <c r="AW29" s="138"/>
      <c r="AX29" s="138"/>
      <c r="AY29" s="138"/>
      <c r="AZ29" s="138"/>
      <c r="BA29" s="138"/>
      <c r="BB29" s="138"/>
      <c r="BC29" s="138"/>
      <c r="BD29" s="138"/>
      <c r="BE29" s="138"/>
      <c r="BF29" s="138"/>
      <c r="BG29" s="138"/>
      <c r="BH29" s="138"/>
      <c r="BI29" s="138"/>
      <c r="BJ29" s="140"/>
      <c r="BK29" s="32" t="str">
        <f t="shared" si="16"/>
        <v>ENT_01_A3-11_バックアップ_適応病名レセ病名組み合わせ関係リンクマスタ取込用.sql</v>
      </c>
    </row>
    <row r="30" spans="1:64" ht="37.5" hidden="1" customHeight="1" outlineLevel="1">
      <c r="A30" s="34" t="str">
        <f t="shared" si="12"/>
        <v>バックアップ_適応病名レセ病名組み合わせ関係リンク親子マスタ取込用</v>
      </c>
      <c r="B30" s="144" t="str">
        <f t="shared" si="8"/>
        <v>01</v>
      </c>
      <c r="C30" s="145"/>
      <c r="D30" s="145"/>
      <c r="E30" s="145"/>
      <c r="F30" s="146"/>
      <c r="G30" s="141" t="s">
        <v>197</v>
      </c>
      <c r="H30" s="142"/>
      <c r="I30" s="142"/>
      <c r="J30" s="142"/>
      <c r="K30" s="142"/>
      <c r="L30" s="142"/>
      <c r="M30" s="142"/>
      <c r="N30" s="143"/>
      <c r="O30" s="81" t="s">
        <v>3199</v>
      </c>
      <c r="P30" s="134" t="s">
        <v>2144</v>
      </c>
      <c r="Q30" s="135"/>
      <c r="R30" s="135"/>
      <c r="S30" s="135"/>
      <c r="T30" s="135"/>
      <c r="U30" s="135"/>
      <c r="V30" s="135"/>
      <c r="W30" s="135"/>
      <c r="X30" s="135"/>
      <c r="Y30" s="135"/>
      <c r="Z30" s="135"/>
      <c r="AA30" s="135"/>
      <c r="AB30" s="135"/>
      <c r="AC30" s="135"/>
      <c r="AD30" s="136"/>
      <c r="AE30" s="137" t="s">
        <v>2589</v>
      </c>
      <c r="AF30" s="138"/>
      <c r="AG30" s="138"/>
      <c r="AH30" s="138"/>
      <c r="AI30" s="138"/>
      <c r="AJ30" s="138"/>
      <c r="AK30" s="138"/>
      <c r="AL30" s="139"/>
      <c r="AM30" s="137" t="s">
        <v>2590</v>
      </c>
      <c r="AN30" s="138"/>
      <c r="AO30" s="138"/>
      <c r="AP30" s="138"/>
      <c r="AQ30" s="138"/>
      <c r="AR30" s="138"/>
      <c r="AS30" s="138"/>
      <c r="AT30" s="138"/>
      <c r="AU30" s="138"/>
      <c r="AV30" s="138"/>
      <c r="AW30" s="138"/>
      <c r="AX30" s="138"/>
      <c r="AY30" s="138"/>
      <c r="AZ30" s="138"/>
      <c r="BA30" s="138"/>
      <c r="BB30" s="138"/>
      <c r="BC30" s="138"/>
      <c r="BD30" s="138"/>
      <c r="BE30" s="138"/>
      <c r="BF30" s="138"/>
      <c r="BG30" s="138"/>
      <c r="BH30" s="138"/>
      <c r="BI30" s="138"/>
      <c r="BJ30" s="140"/>
      <c r="BK30" s="32" t="str">
        <f t="shared" si="16"/>
        <v>ENT_01_A3-12_バックアップ_適応病名レセ病名組み合わせ関係リンク親子マスタ取込用.sql</v>
      </c>
    </row>
    <row r="31" spans="1:64" ht="37.5" hidden="1" customHeight="1" outlineLevel="1">
      <c r="A31" s="34" t="str">
        <f t="shared" si="12"/>
        <v>バックアップ_適用病名マスタ取込用</v>
      </c>
      <c r="B31" s="144" t="str">
        <f t="shared" si="8"/>
        <v>01</v>
      </c>
      <c r="C31" s="145"/>
      <c r="D31" s="145"/>
      <c r="E31" s="145"/>
      <c r="F31" s="146"/>
      <c r="G31" s="141" t="s">
        <v>197</v>
      </c>
      <c r="H31" s="142"/>
      <c r="I31" s="142"/>
      <c r="J31" s="142"/>
      <c r="K31" s="142"/>
      <c r="L31" s="142"/>
      <c r="M31" s="142"/>
      <c r="N31" s="143"/>
      <c r="O31" s="81" t="s">
        <v>3200</v>
      </c>
      <c r="P31" s="134" t="s">
        <v>2145</v>
      </c>
      <c r="Q31" s="135"/>
      <c r="R31" s="135"/>
      <c r="S31" s="135"/>
      <c r="T31" s="135"/>
      <c r="U31" s="135"/>
      <c r="V31" s="135"/>
      <c r="W31" s="135"/>
      <c r="X31" s="135"/>
      <c r="Y31" s="135"/>
      <c r="Z31" s="135"/>
      <c r="AA31" s="135"/>
      <c r="AB31" s="135"/>
      <c r="AC31" s="135"/>
      <c r="AD31" s="136"/>
      <c r="AE31" s="137" t="str">
        <f t="shared" ca="1" si="13"/>
        <v>azn_202310_backup_mt_tekiyou_byoumei</v>
      </c>
      <c r="AF31" s="138"/>
      <c r="AG31" s="138"/>
      <c r="AH31" s="138"/>
      <c r="AI31" s="138"/>
      <c r="AJ31" s="138"/>
      <c r="AK31" s="138"/>
      <c r="AL31" s="139"/>
      <c r="AM31" s="137" t="str">
        <f t="shared" ca="1" si="14"/>
        <v>適用病名マスタ取込用テーブルから組入れ条件の第一条件で絞り込んだ結果を格納するテーブル</v>
      </c>
      <c r="AN31" s="138"/>
      <c r="AO31" s="138"/>
      <c r="AP31" s="138"/>
      <c r="AQ31" s="138"/>
      <c r="AR31" s="138"/>
      <c r="AS31" s="138"/>
      <c r="AT31" s="138"/>
      <c r="AU31" s="138"/>
      <c r="AV31" s="138"/>
      <c r="AW31" s="138"/>
      <c r="AX31" s="138"/>
      <c r="AY31" s="138"/>
      <c r="AZ31" s="138"/>
      <c r="BA31" s="138"/>
      <c r="BB31" s="138"/>
      <c r="BC31" s="138"/>
      <c r="BD31" s="138"/>
      <c r="BE31" s="138"/>
      <c r="BF31" s="138"/>
      <c r="BG31" s="138"/>
      <c r="BH31" s="138"/>
      <c r="BI31" s="138"/>
      <c r="BJ31" s="140"/>
      <c r="BK31" s="32" t="str">
        <f t="shared" si="16"/>
        <v>ENT_01_A3-13_バックアップ_適用病名マスタ取込用.sql</v>
      </c>
    </row>
    <row r="32" spans="1:64" ht="37.5" hidden="1" customHeight="1" outlineLevel="1">
      <c r="A32" s="34" t="str">
        <f t="shared" si="12"/>
        <v>バックアップ_ＹＪコード医薬品コードリンクマスタ取込用</v>
      </c>
      <c r="B32" s="144" t="str">
        <f t="shared" si="8"/>
        <v>01</v>
      </c>
      <c r="C32" s="145"/>
      <c r="D32" s="145"/>
      <c r="E32" s="145"/>
      <c r="F32" s="146"/>
      <c r="G32" s="141" t="s">
        <v>197</v>
      </c>
      <c r="H32" s="142"/>
      <c r="I32" s="142"/>
      <c r="J32" s="142"/>
      <c r="K32" s="142"/>
      <c r="L32" s="142"/>
      <c r="M32" s="142"/>
      <c r="N32" s="143"/>
      <c r="O32" s="81" t="s">
        <v>3201</v>
      </c>
      <c r="P32" s="134" t="s">
        <v>2154</v>
      </c>
      <c r="Q32" s="135"/>
      <c r="R32" s="135"/>
      <c r="S32" s="135"/>
      <c r="T32" s="135"/>
      <c r="U32" s="135"/>
      <c r="V32" s="135"/>
      <c r="W32" s="135"/>
      <c r="X32" s="135"/>
      <c r="Y32" s="135"/>
      <c r="Z32" s="135"/>
      <c r="AA32" s="135"/>
      <c r="AB32" s="135"/>
      <c r="AC32" s="135"/>
      <c r="AD32" s="136"/>
      <c r="AE32" s="137" t="str">
        <f t="shared" ca="1" si="13"/>
        <v>azn_202310_backup_mt_yjcode_receptdensancode_link</v>
      </c>
      <c r="AF32" s="138"/>
      <c r="AG32" s="138"/>
      <c r="AH32" s="138"/>
      <c r="AI32" s="138"/>
      <c r="AJ32" s="138"/>
      <c r="AK32" s="138"/>
      <c r="AL32" s="139"/>
      <c r="AM32" s="137" t="str">
        <f t="shared" ca="1" si="14"/>
        <v>ＹＪコード医薬品コードリンクマスタ取込用テーブルから組入れ条件の第一条件で絞り込んだ結果を格納するテーブル</v>
      </c>
      <c r="AN32" s="138"/>
      <c r="AO32" s="138"/>
      <c r="AP32" s="138"/>
      <c r="AQ32" s="138"/>
      <c r="AR32" s="138"/>
      <c r="AS32" s="138"/>
      <c r="AT32" s="138"/>
      <c r="AU32" s="138"/>
      <c r="AV32" s="138"/>
      <c r="AW32" s="138"/>
      <c r="AX32" s="138"/>
      <c r="AY32" s="138"/>
      <c r="AZ32" s="138"/>
      <c r="BA32" s="138"/>
      <c r="BB32" s="138"/>
      <c r="BC32" s="138"/>
      <c r="BD32" s="138"/>
      <c r="BE32" s="138"/>
      <c r="BF32" s="138"/>
      <c r="BG32" s="138"/>
      <c r="BH32" s="138"/>
      <c r="BI32" s="138"/>
      <c r="BJ32" s="140"/>
      <c r="BK32" s="32" t="str">
        <f t="shared" si="16"/>
        <v>ENT_01_A3-14_バックアップ_ＹＪコード医薬品コードリンクマスタ取込用.sql</v>
      </c>
    </row>
    <row r="33" spans="1:63" ht="37.5" hidden="1" customHeight="1" outlineLevel="1">
      <c r="A33" s="34" t="str">
        <f t="shared" si="12"/>
        <v>バックアップ_診療行為付加情報マスタ取込用</v>
      </c>
      <c r="B33" s="144" t="str">
        <f t="shared" si="8"/>
        <v>01</v>
      </c>
      <c r="C33" s="145"/>
      <c r="D33" s="145"/>
      <c r="E33" s="145"/>
      <c r="F33" s="146"/>
      <c r="G33" s="141" t="s">
        <v>197</v>
      </c>
      <c r="H33" s="142"/>
      <c r="I33" s="142"/>
      <c r="J33" s="142"/>
      <c r="K33" s="142"/>
      <c r="L33" s="142"/>
      <c r="M33" s="142"/>
      <c r="N33" s="143"/>
      <c r="O33" s="81" t="s">
        <v>3202</v>
      </c>
      <c r="P33" s="134" t="s">
        <v>2164</v>
      </c>
      <c r="Q33" s="135"/>
      <c r="R33" s="135"/>
      <c r="S33" s="135"/>
      <c r="T33" s="135"/>
      <c r="U33" s="135"/>
      <c r="V33" s="135"/>
      <c r="W33" s="135"/>
      <c r="X33" s="135"/>
      <c r="Y33" s="135"/>
      <c r="Z33" s="135"/>
      <c r="AA33" s="135"/>
      <c r="AB33" s="135"/>
      <c r="AC33" s="135"/>
      <c r="AD33" s="136"/>
      <c r="AE33" s="137" t="str">
        <f t="shared" ca="1" si="13"/>
        <v>azn_202310_backup_mt_shinryo_koi_fuka</v>
      </c>
      <c r="AF33" s="138"/>
      <c r="AG33" s="138"/>
      <c r="AH33" s="138"/>
      <c r="AI33" s="138"/>
      <c r="AJ33" s="138"/>
      <c r="AK33" s="138"/>
      <c r="AL33" s="139"/>
      <c r="AM33" s="137" t="str">
        <f t="shared" ca="1" si="14"/>
        <v>診療行為付加情報マスタ取込用テーブルから組入れ条件の第一条件で絞り込んだ結果を格納するテーブル</v>
      </c>
      <c r="AN33" s="138"/>
      <c r="AO33" s="138"/>
      <c r="AP33" s="138"/>
      <c r="AQ33" s="138"/>
      <c r="AR33" s="138"/>
      <c r="AS33" s="138"/>
      <c r="AT33" s="138"/>
      <c r="AU33" s="138"/>
      <c r="AV33" s="138"/>
      <c r="AW33" s="138"/>
      <c r="AX33" s="138"/>
      <c r="AY33" s="138"/>
      <c r="AZ33" s="138"/>
      <c r="BA33" s="138"/>
      <c r="BB33" s="138"/>
      <c r="BC33" s="138"/>
      <c r="BD33" s="138"/>
      <c r="BE33" s="138"/>
      <c r="BF33" s="138"/>
      <c r="BG33" s="138"/>
      <c r="BH33" s="138"/>
      <c r="BI33" s="138"/>
      <c r="BJ33" s="140"/>
      <c r="BK33" s="32" t="str">
        <f t="shared" si="16"/>
        <v>ENT_01_A3-15_バックアップ_診療行為付加情報マスタ取込用.sql</v>
      </c>
    </row>
    <row r="34" spans="1:63" ht="37.5" hidden="1" customHeight="1" outlineLevel="1">
      <c r="A34" s="34" t="str">
        <f t="shared" si="12"/>
        <v>バックアップ_処理対象施設マスタ</v>
      </c>
      <c r="B34" s="144" t="str">
        <f t="shared" si="8"/>
        <v>01</v>
      </c>
      <c r="C34" s="145"/>
      <c r="D34" s="145"/>
      <c r="E34" s="145"/>
      <c r="F34" s="146"/>
      <c r="G34" s="141" t="s">
        <v>197</v>
      </c>
      <c r="H34" s="142"/>
      <c r="I34" s="142"/>
      <c r="J34" s="142"/>
      <c r="K34" s="142"/>
      <c r="L34" s="142"/>
      <c r="M34" s="142"/>
      <c r="N34" s="143"/>
      <c r="O34" s="81" t="s">
        <v>3203</v>
      </c>
      <c r="P34" s="134" t="s">
        <v>2445</v>
      </c>
      <c r="Q34" s="135"/>
      <c r="R34" s="135"/>
      <c r="S34" s="135"/>
      <c r="T34" s="135"/>
      <c r="U34" s="135"/>
      <c r="V34" s="135"/>
      <c r="W34" s="135"/>
      <c r="X34" s="135"/>
      <c r="Y34" s="135"/>
      <c r="Z34" s="135"/>
      <c r="AA34" s="135"/>
      <c r="AB34" s="135"/>
      <c r="AC34" s="135"/>
      <c r="AD34" s="136"/>
      <c r="AE34" s="137" t="str">
        <f t="shared" ca="1" si="13"/>
        <v>azn_202310_backup_mt_shori_shisetsu</v>
      </c>
      <c r="AF34" s="138"/>
      <c r="AG34" s="138"/>
      <c r="AH34" s="138"/>
      <c r="AI34" s="138"/>
      <c r="AJ34" s="138"/>
      <c r="AK34" s="138"/>
      <c r="AL34" s="139"/>
      <c r="AM34" s="137" t="str">
        <f t="shared" ca="1" si="14"/>
        <v>処理対象施設マスタテーブルから組入れ条件の第一条件で絞り込んだ結果を格納するテーブル</v>
      </c>
      <c r="AN34" s="138"/>
      <c r="AO34" s="138"/>
      <c r="AP34" s="138"/>
      <c r="AQ34" s="138"/>
      <c r="AR34" s="138"/>
      <c r="AS34" s="138"/>
      <c r="AT34" s="138"/>
      <c r="AU34" s="138"/>
      <c r="AV34" s="138"/>
      <c r="AW34" s="138"/>
      <c r="AX34" s="138"/>
      <c r="AY34" s="138"/>
      <c r="AZ34" s="138"/>
      <c r="BA34" s="138"/>
      <c r="BB34" s="138"/>
      <c r="BC34" s="138"/>
      <c r="BD34" s="138"/>
      <c r="BE34" s="138"/>
      <c r="BF34" s="138"/>
      <c r="BG34" s="138"/>
      <c r="BH34" s="138"/>
      <c r="BI34" s="138"/>
      <c r="BJ34" s="140"/>
      <c r="BK34" s="32" t="str">
        <f t="shared" si="16"/>
        <v>ENT_01_A3-16_バックアップ_処理対象施設マスタ.sql</v>
      </c>
    </row>
    <row r="35" spans="1:63" ht="37.5" hidden="1" customHeight="1" outlineLevel="1">
      <c r="A35" s="34" t="str">
        <f t="shared" si="12"/>
        <v>バックアップ_処理対象施設マスタ管理</v>
      </c>
      <c r="B35" s="144" t="str">
        <f t="shared" si="8"/>
        <v>01</v>
      </c>
      <c r="C35" s="145"/>
      <c r="D35" s="145"/>
      <c r="E35" s="145"/>
      <c r="F35" s="146"/>
      <c r="G35" s="141" t="s">
        <v>197</v>
      </c>
      <c r="H35" s="142"/>
      <c r="I35" s="142"/>
      <c r="J35" s="142"/>
      <c r="K35" s="142"/>
      <c r="L35" s="142"/>
      <c r="M35" s="142"/>
      <c r="N35" s="143"/>
      <c r="O35" s="81" t="s">
        <v>3265</v>
      </c>
      <c r="P35" s="134" t="s">
        <v>2474</v>
      </c>
      <c r="Q35" s="135"/>
      <c r="R35" s="135"/>
      <c r="S35" s="135"/>
      <c r="T35" s="135"/>
      <c r="U35" s="135"/>
      <c r="V35" s="135"/>
      <c r="W35" s="135"/>
      <c r="X35" s="135"/>
      <c r="Y35" s="135"/>
      <c r="Z35" s="135"/>
      <c r="AA35" s="135"/>
      <c r="AB35" s="135"/>
      <c r="AC35" s="135"/>
      <c r="AD35" s="136"/>
      <c r="AE35" s="137" t="str">
        <f t="shared" ca="1" si="13"/>
        <v>azn_202310_backup_mt_shori_shisetsu_manage</v>
      </c>
      <c r="AF35" s="138"/>
      <c r="AG35" s="138"/>
      <c r="AH35" s="138"/>
      <c r="AI35" s="138"/>
      <c r="AJ35" s="138"/>
      <c r="AK35" s="138"/>
      <c r="AL35" s="139"/>
      <c r="AM35" s="137" t="str">
        <f t="shared" ca="1" si="14"/>
        <v>処理対象施設マスタ管理テーブルから組入れ条件の第一条件で絞り込んだ結果を格納するテーブル</v>
      </c>
      <c r="AN35" s="138"/>
      <c r="AO35" s="138"/>
      <c r="AP35" s="138"/>
      <c r="AQ35" s="138"/>
      <c r="AR35" s="138"/>
      <c r="AS35" s="138"/>
      <c r="AT35" s="138"/>
      <c r="AU35" s="138"/>
      <c r="AV35" s="138"/>
      <c r="AW35" s="138"/>
      <c r="AX35" s="138"/>
      <c r="AY35" s="138"/>
      <c r="AZ35" s="138"/>
      <c r="BA35" s="138"/>
      <c r="BB35" s="138"/>
      <c r="BC35" s="138"/>
      <c r="BD35" s="138"/>
      <c r="BE35" s="138"/>
      <c r="BF35" s="138"/>
      <c r="BG35" s="138"/>
      <c r="BH35" s="138"/>
      <c r="BI35" s="138"/>
      <c r="BJ35" s="140"/>
      <c r="BK35" s="32" t="str">
        <f t="shared" si="16"/>
        <v>ENT_01_A3-17_バックアップ_処理対象施設マスタ管理.sql</v>
      </c>
    </row>
    <row r="36" spans="1:63" ht="37.5" hidden="1" customHeight="1" outlineLevel="1">
      <c r="A36" s="34" t="str">
        <f t="shared" ref="A36:A51" si="17">P36</f>
        <v>バックアップ_医薬品マスタ</v>
      </c>
      <c r="B36" s="144" t="str">
        <f t="shared" si="8"/>
        <v>01</v>
      </c>
      <c r="C36" s="145"/>
      <c r="D36" s="145"/>
      <c r="E36" s="145"/>
      <c r="F36" s="146"/>
      <c r="G36" s="141" t="s">
        <v>197</v>
      </c>
      <c r="H36" s="142"/>
      <c r="I36" s="142"/>
      <c r="J36" s="142"/>
      <c r="K36" s="142"/>
      <c r="L36" s="142"/>
      <c r="M36" s="142"/>
      <c r="N36" s="143"/>
      <c r="O36" s="81" t="s">
        <v>3266</v>
      </c>
      <c r="P36" s="134" t="s">
        <v>3286</v>
      </c>
      <c r="Q36" s="135"/>
      <c r="R36" s="135"/>
      <c r="S36" s="135"/>
      <c r="T36" s="135"/>
      <c r="U36" s="135"/>
      <c r="V36" s="135"/>
      <c r="W36" s="135"/>
      <c r="X36" s="135"/>
      <c r="Y36" s="135"/>
      <c r="Z36" s="135"/>
      <c r="AA36" s="135"/>
      <c r="AB36" s="135"/>
      <c r="AC36" s="135"/>
      <c r="AD36" s="136"/>
      <c r="AE36" s="137" t="str">
        <f t="shared" ref="AE36:AE45" ca="1" si="18">IFERROR(INDIRECT(P36&amp;"!D8"),"")</f>
        <v>azn_202310_backup_mt_iyakuhin</v>
      </c>
      <c r="AF36" s="138"/>
      <c r="AG36" s="138"/>
      <c r="AH36" s="138"/>
      <c r="AI36" s="138"/>
      <c r="AJ36" s="138"/>
      <c r="AK36" s="138"/>
      <c r="AL36" s="139"/>
      <c r="AM36" s="137" t="str">
        <f t="shared" ref="AM36:AM45" ca="1" si="19">IFERROR(INDIRECT(P36&amp;"!D9"),"")</f>
        <v>医薬品マスタテーブルから組入れ条件の第一条件で絞り込んだ結果を格納するテーブル</v>
      </c>
      <c r="AN36" s="138"/>
      <c r="AO36" s="138"/>
      <c r="AP36" s="138"/>
      <c r="AQ36" s="138"/>
      <c r="AR36" s="138"/>
      <c r="AS36" s="138"/>
      <c r="AT36" s="138"/>
      <c r="AU36" s="138"/>
      <c r="AV36" s="138"/>
      <c r="AW36" s="138"/>
      <c r="AX36" s="138"/>
      <c r="AY36" s="138"/>
      <c r="AZ36" s="138"/>
      <c r="BA36" s="138"/>
      <c r="BB36" s="138"/>
      <c r="BC36" s="138"/>
      <c r="BD36" s="138"/>
      <c r="BE36" s="138"/>
      <c r="BF36" s="138"/>
      <c r="BG36" s="138"/>
      <c r="BH36" s="138"/>
      <c r="BI36" s="138"/>
      <c r="BJ36" s="140"/>
      <c r="BK36" s="32" t="str">
        <f t="shared" si="16"/>
        <v>ENT_01_A3-18_バックアップ_医薬品マスタ.sql</v>
      </c>
    </row>
    <row r="37" spans="1:63" ht="37.5" hidden="1" customHeight="1" outlineLevel="1">
      <c r="A37" s="34" t="str">
        <f t="shared" si="17"/>
        <v>バックアップ_医薬品ブランドマスタ</v>
      </c>
      <c r="B37" s="144" t="str">
        <f t="shared" si="8"/>
        <v>01</v>
      </c>
      <c r="C37" s="145"/>
      <c r="D37" s="145"/>
      <c r="E37" s="145"/>
      <c r="F37" s="146"/>
      <c r="G37" s="141" t="s">
        <v>197</v>
      </c>
      <c r="H37" s="142"/>
      <c r="I37" s="142"/>
      <c r="J37" s="142"/>
      <c r="K37" s="142"/>
      <c r="L37" s="142"/>
      <c r="M37" s="142"/>
      <c r="N37" s="143"/>
      <c r="O37" s="81" t="s">
        <v>3267</v>
      </c>
      <c r="P37" s="134" t="s">
        <v>3287</v>
      </c>
      <c r="Q37" s="135"/>
      <c r="R37" s="135"/>
      <c r="S37" s="135"/>
      <c r="T37" s="135"/>
      <c r="U37" s="135"/>
      <c r="V37" s="135"/>
      <c r="W37" s="135"/>
      <c r="X37" s="135"/>
      <c r="Y37" s="135"/>
      <c r="Z37" s="135"/>
      <c r="AA37" s="135"/>
      <c r="AB37" s="135"/>
      <c r="AC37" s="135"/>
      <c r="AD37" s="136"/>
      <c r="AE37" s="137" t="str">
        <f t="shared" ca="1" si="18"/>
        <v>azn_202310_backup_mt_iyakuhin_brand</v>
      </c>
      <c r="AF37" s="138"/>
      <c r="AG37" s="138"/>
      <c r="AH37" s="138"/>
      <c r="AI37" s="138"/>
      <c r="AJ37" s="138"/>
      <c r="AK37" s="138"/>
      <c r="AL37" s="139"/>
      <c r="AM37" s="137" t="str">
        <f t="shared" ca="1" si="19"/>
        <v>医薬品ブランドマスタテーブルから組入れ条件の第一条件で絞り込んだ結果を格納するテーブル</v>
      </c>
      <c r="AN37" s="138"/>
      <c r="AO37" s="138"/>
      <c r="AP37" s="138"/>
      <c r="AQ37" s="138"/>
      <c r="AR37" s="138"/>
      <c r="AS37" s="138"/>
      <c r="AT37" s="138"/>
      <c r="AU37" s="138"/>
      <c r="AV37" s="138"/>
      <c r="AW37" s="138"/>
      <c r="AX37" s="138"/>
      <c r="AY37" s="138"/>
      <c r="AZ37" s="138"/>
      <c r="BA37" s="138"/>
      <c r="BB37" s="138"/>
      <c r="BC37" s="138"/>
      <c r="BD37" s="138"/>
      <c r="BE37" s="138"/>
      <c r="BF37" s="138"/>
      <c r="BG37" s="138"/>
      <c r="BH37" s="138"/>
      <c r="BI37" s="138"/>
      <c r="BJ37" s="140"/>
      <c r="BK37" s="32" t="str">
        <f t="shared" si="16"/>
        <v>ENT_01_A3-19_バックアップ_医薬品ブランドマスタ.sql</v>
      </c>
    </row>
    <row r="38" spans="1:63" ht="37.5" hidden="1" customHeight="1" outlineLevel="1">
      <c r="A38" s="34" t="str">
        <f t="shared" si="17"/>
        <v>バックアップ_医薬品一般名マスタ</v>
      </c>
      <c r="B38" s="144" t="str">
        <f t="shared" ref="B38:B100" si="20">TEXT(1,"00")</f>
        <v>01</v>
      </c>
      <c r="C38" s="145"/>
      <c r="D38" s="145"/>
      <c r="E38" s="145"/>
      <c r="F38" s="146"/>
      <c r="G38" s="141" t="s">
        <v>197</v>
      </c>
      <c r="H38" s="142"/>
      <c r="I38" s="142"/>
      <c r="J38" s="142"/>
      <c r="K38" s="142"/>
      <c r="L38" s="142"/>
      <c r="M38" s="142"/>
      <c r="N38" s="143"/>
      <c r="O38" s="81" t="s">
        <v>3268</v>
      </c>
      <c r="P38" s="134" t="s">
        <v>3288</v>
      </c>
      <c r="Q38" s="135"/>
      <c r="R38" s="135"/>
      <c r="S38" s="135"/>
      <c r="T38" s="135"/>
      <c r="U38" s="135"/>
      <c r="V38" s="135"/>
      <c r="W38" s="135"/>
      <c r="X38" s="135"/>
      <c r="Y38" s="135"/>
      <c r="Z38" s="135"/>
      <c r="AA38" s="135"/>
      <c r="AB38" s="135"/>
      <c r="AC38" s="135"/>
      <c r="AD38" s="136"/>
      <c r="AE38" s="137" t="str">
        <f t="shared" ca="1" si="18"/>
        <v>azn_202310_backup_mt_iyakuhin_ippan_name</v>
      </c>
      <c r="AF38" s="138"/>
      <c r="AG38" s="138"/>
      <c r="AH38" s="138"/>
      <c r="AI38" s="138"/>
      <c r="AJ38" s="138"/>
      <c r="AK38" s="138"/>
      <c r="AL38" s="139"/>
      <c r="AM38" s="137" t="str">
        <f t="shared" ca="1" si="19"/>
        <v>医薬品一般名マスタテーブルから組入れ条件の第一条件で絞り込んだ結果を格納するテーブル</v>
      </c>
      <c r="AN38" s="138"/>
      <c r="AO38" s="138"/>
      <c r="AP38" s="138"/>
      <c r="AQ38" s="138"/>
      <c r="AR38" s="138"/>
      <c r="AS38" s="138"/>
      <c r="AT38" s="138"/>
      <c r="AU38" s="138"/>
      <c r="AV38" s="138"/>
      <c r="AW38" s="138"/>
      <c r="AX38" s="138"/>
      <c r="AY38" s="138"/>
      <c r="AZ38" s="138"/>
      <c r="BA38" s="138"/>
      <c r="BB38" s="138"/>
      <c r="BC38" s="138"/>
      <c r="BD38" s="138"/>
      <c r="BE38" s="138"/>
      <c r="BF38" s="138"/>
      <c r="BG38" s="138"/>
      <c r="BH38" s="138"/>
      <c r="BI38" s="138"/>
      <c r="BJ38" s="140"/>
      <c r="BK38" s="32" t="str">
        <f t="shared" si="16"/>
        <v>ENT_01_A3-20_バックアップ_医薬品一般名マスタ.sql</v>
      </c>
    </row>
    <row r="39" spans="1:63" ht="37.5" hidden="1" customHeight="1" outlineLevel="1">
      <c r="A39" s="34" t="str">
        <f t="shared" si="17"/>
        <v>バックアップ_医薬品販売会社マスタ</v>
      </c>
      <c r="B39" s="144" t="str">
        <f t="shared" si="20"/>
        <v>01</v>
      </c>
      <c r="C39" s="145"/>
      <c r="D39" s="145"/>
      <c r="E39" s="145"/>
      <c r="F39" s="146"/>
      <c r="G39" s="141" t="s">
        <v>197</v>
      </c>
      <c r="H39" s="142"/>
      <c r="I39" s="142"/>
      <c r="J39" s="142"/>
      <c r="K39" s="142"/>
      <c r="L39" s="142"/>
      <c r="M39" s="142"/>
      <c r="N39" s="143"/>
      <c r="O39" s="81" t="s">
        <v>3269</v>
      </c>
      <c r="P39" s="134" t="s">
        <v>3289</v>
      </c>
      <c r="Q39" s="135"/>
      <c r="R39" s="135"/>
      <c r="S39" s="135"/>
      <c r="T39" s="135"/>
      <c r="U39" s="135"/>
      <c r="V39" s="135"/>
      <c r="W39" s="135"/>
      <c r="X39" s="135"/>
      <c r="Y39" s="135"/>
      <c r="Z39" s="135"/>
      <c r="AA39" s="135"/>
      <c r="AB39" s="135"/>
      <c r="AC39" s="135"/>
      <c r="AD39" s="136"/>
      <c r="AE39" s="137" t="str">
        <f t="shared" ca="1" si="18"/>
        <v>azn_202310_backup_mt_iyakuhin_sales_kaisha</v>
      </c>
      <c r="AF39" s="138"/>
      <c r="AG39" s="138"/>
      <c r="AH39" s="138"/>
      <c r="AI39" s="138"/>
      <c r="AJ39" s="138"/>
      <c r="AK39" s="138"/>
      <c r="AL39" s="139"/>
      <c r="AM39" s="137" t="str">
        <f t="shared" ca="1" si="19"/>
        <v>医薬品販売会社マスタテーブルから組入れ条件の第一条件で絞り込んだ結果を格納するテーブル</v>
      </c>
      <c r="AN39" s="138"/>
      <c r="AO39" s="138"/>
      <c r="AP39" s="138"/>
      <c r="AQ39" s="138"/>
      <c r="AR39" s="138"/>
      <c r="AS39" s="138"/>
      <c r="AT39" s="138"/>
      <c r="AU39" s="138"/>
      <c r="AV39" s="138"/>
      <c r="AW39" s="138"/>
      <c r="AX39" s="138"/>
      <c r="AY39" s="138"/>
      <c r="AZ39" s="138"/>
      <c r="BA39" s="138"/>
      <c r="BB39" s="138"/>
      <c r="BC39" s="138"/>
      <c r="BD39" s="138"/>
      <c r="BE39" s="138"/>
      <c r="BF39" s="138"/>
      <c r="BG39" s="138"/>
      <c r="BH39" s="138"/>
      <c r="BI39" s="138"/>
      <c r="BJ39" s="140"/>
      <c r="BK39" s="32" t="str">
        <f t="shared" si="16"/>
        <v>ENT_01_A3-21_バックアップ_医薬品販売会社マスタ.sql</v>
      </c>
    </row>
    <row r="40" spans="1:63" ht="37.5" hidden="1" customHeight="1" outlineLevel="1">
      <c r="A40" s="34" t="str">
        <f t="shared" si="17"/>
        <v>バックアップ_メーカマスタ</v>
      </c>
      <c r="B40" s="144" t="str">
        <f t="shared" si="20"/>
        <v>01</v>
      </c>
      <c r="C40" s="145"/>
      <c r="D40" s="145"/>
      <c r="E40" s="145"/>
      <c r="F40" s="146"/>
      <c r="G40" s="141" t="s">
        <v>197</v>
      </c>
      <c r="H40" s="142"/>
      <c r="I40" s="142"/>
      <c r="J40" s="142"/>
      <c r="K40" s="142"/>
      <c r="L40" s="142"/>
      <c r="M40" s="142"/>
      <c r="N40" s="143"/>
      <c r="O40" s="81" t="s">
        <v>3270</v>
      </c>
      <c r="P40" s="134" t="s">
        <v>3290</v>
      </c>
      <c r="Q40" s="135"/>
      <c r="R40" s="135"/>
      <c r="S40" s="135"/>
      <c r="T40" s="135"/>
      <c r="U40" s="135"/>
      <c r="V40" s="135"/>
      <c r="W40" s="135"/>
      <c r="X40" s="135"/>
      <c r="Y40" s="135"/>
      <c r="Z40" s="135"/>
      <c r="AA40" s="135"/>
      <c r="AB40" s="135"/>
      <c r="AC40" s="135"/>
      <c r="AD40" s="136"/>
      <c r="AE40" s="137" t="str">
        <f t="shared" ca="1" si="18"/>
        <v>azn_202310_backup_mt_maker</v>
      </c>
      <c r="AF40" s="138"/>
      <c r="AG40" s="138"/>
      <c r="AH40" s="138"/>
      <c r="AI40" s="138"/>
      <c r="AJ40" s="138"/>
      <c r="AK40" s="138"/>
      <c r="AL40" s="139"/>
      <c r="AM40" s="137" t="str">
        <f t="shared" ca="1" si="19"/>
        <v>メーカマスタテーブルから組入れ条件の第一条件で絞り込んだ結果を格納するテーブル</v>
      </c>
      <c r="AN40" s="138"/>
      <c r="AO40" s="138"/>
      <c r="AP40" s="138"/>
      <c r="AQ40" s="138"/>
      <c r="AR40" s="138"/>
      <c r="AS40" s="138"/>
      <c r="AT40" s="138"/>
      <c r="AU40" s="138"/>
      <c r="AV40" s="138"/>
      <c r="AW40" s="138"/>
      <c r="AX40" s="138"/>
      <c r="AY40" s="138"/>
      <c r="AZ40" s="138"/>
      <c r="BA40" s="138"/>
      <c r="BB40" s="138"/>
      <c r="BC40" s="138"/>
      <c r="BD40" s="138"/>
      <c r="BE40" s="138"/>
      <c r="BF40" s="138"/>
      <c r="BG40" s="138"/>
      <c r="BH40" s="138"/>
      <c r="BI40" s="138"/>
      <c r="BJ40" s="140"/>
      <c r="BK40" s="32" t="str">
        <f t="shared" si="16"/>
        <v>ENT_01_A3-22_バックアップ_メーカマスタ.sql</v>
      </c>
    </row>
    <row r="41" spans="1:63" ht="37.5" hidden="1" customHeight="1" outlineLevel="1">
      <c r="A41" s="34" t="str">
        <f t="shared" si="17"/>
        <v>バックアップ_薬価マスタ</v>
      </c>
      <c r="B41" s="144" t="str">
        <f t="shared" si="20"/>
        <v>01</v>
      </c>
      <c r="C41" s="145"/>
      <c r="D41" s="145"/>
      <c r="E41" s="145"/>
      <c r="F41" s="146"/>
      <c r="G41" s="141" t="s">
        <v>197</v>
      </c>
      <c r="H41" s="142"/>
      <c r="I41" s="142"/>
      <c r="J41" s="142"/>
      <c r="K41" s="142"/>
      <c r="L41" s="142"/>
      <c r="M41" s="142"/>
      <c r="N41" s="143"/>
      <c r="O41" s="81" t="s">
        <v>3271</v>
      </c>
      <c r="P41" s="134" t="s">
        <v>3291</v>
      </c>
      <c r="Q41" s="135"/>
      <c r="R41" s="135"/>
      <c r="S41" s="135"/>
      <c r="T41" s="135"/>
      <c r="U41" s="135"/>
      <c r="V41" s="135"/>
      <c r="W41" s="135"/>
      <c r="X41" s="135"/>
      <c r="Y41" s="135"/>
      <c r="Z41" s="135"/>
      <c r="AA41" s="135"/>
      <c r="AB41" s="135"/>
      <c r="AC41" s="135"/>
      <c r="AD41" s="136"/>
      <c r="AE41" s="137" t="str">
        <f t="shared" ca="1" si="18"/>
        <v>azn_202310_backup_mt_price</v>
      </c>
      <c r="AF41" s="138"/>
      <c r="AG41" s="138"/>
      <c r="AH41" s="138"/>
      <c r="AI41" s="138"/>
      <c r="AJ41" s="138"/>
      <c r="AK41" s="138"/>
      <c r="AL41" s="139"/>
      <c r="AM41" s="137" t="str">
        <f t="shared" ca="1" si="19"/>
        <v>薬価マスタテーブルから組入れ条件の第一条件で絞り込んだ結果を格納するテーブル</v>
      </c>
      <c r="AN41" s="138"/>
      <c r="AO41" s="138"/>
      <c r="AP41" s="138"/>
      <c r="AQ41" s="138"/>
      <c r="AR41" s="138"/>
      <c r="AS41" s="138"/>
      <c r="AT41" s="138"/>
      <c r="AU41" s="138"/>
      <c r="AV41" s="138"/>
      <c r="AW41" s="138"/>
      <c r="AX41" s="138"/>
      <c r="AY41" s="138"/>
      <c r="AZ41" s="138"/>
      <c r="BA41" s="138"/>
      <c r="BB41" s="138"/>
      <c r="BC41" s="138"/>
      <c r="BD41" s="138"/>
      <c r="BE41" s="138"/>
      <c r="BF41" s="138"/>
      <c r="BG41" s="138"/>
      <c r="BH41" s="138"/>
      <c r="BI41" s="138"/>
      <c r="BJ41" s="140"/>
      <c r="BK41" s="32" t="str">
        <f t="shared" si="16"/>
        <v>ENT_01_A3-23_バックアップ_薬価マスタ.sql</v>
      </c>
    </row>
    <row r="42" spans="1:63" ht="37.5" hidden="1" customHeight="1" outlineLevel="1">
      <c r="A42" s="34" t="str">
        <f t="shared" si="17"/>
        <v>バックアップ_薬効ATC分類1マスタ</v>
      </c>
      <c r="B42" s="144" t="str">
        <f t="shared" si="20"/>
        <v>01</v>
      </c>
      <c r="C42" s="145"/>
      <c r="D42" s="145"/>
      <c r="E42" s="145"/>
      <c r="F42" s="146"/>
      <c r="G42" s="141" t="s">
        <v>197</v>
      </c>
      <c r="H42" s="142"/>
      <c r="I42" s="142"/>
      <c r="J42" s="142"/>
      <c r="K42" s="142"/>
      <c r="L42" s="142"/>
      <c r="M42" s="142"/>
      <c r="N42" s="143"/>
      <c r="O42" s="81" t="s">
        <v>3272</v>
      </c>
      <c r="P42" s="134" t="s">
        <v>3292</v>
      </c>
      <c r="Q42" s="135"/>
      <c r="R42" s="135"/>
      <c r="S42" s="135"/>
      <c r="T42" s="135"/>
      <c r="U42" s="135"/>
      <c r="V42" s="135"/>
      <c r="W42" s="135"/>
      <c r="X42" s="135"/>
      <c r="Y42" s="135"/>
      <c r="Z42" s="135"/>
      <c r="AA42" s="135"/>
      <c r="AB42" s="135"/>
      <c r="AC42" s="135"/>
      <c r="AD42" s="136"/>
      <c r="AE42" s="137" t="str">
        <f t="shared" ca="1" si="18"/>
        <v>azn_202310_backup_mt_yakko_atc1</v>
      </c>
      <c r="AF42" s="138"/>
      <c r="AG42" s="138"/>
      <c r="AH42" s="138"/>
      <c r="AI42" s="138"/>
      <c r="AJ42" s="138"/>
      <c r="AK42" s="138"/>
      <c r="AL42" s="139"/>
      <c r="AM42" s="137" t="str">
        <f t="shared" ca="1" si="19"/>
        <v>薬効ATC分類1マスタテーブルから組入れ条件の第一条件で絞り込んだ結果を格納するテーブル</v>
      </c>
      <c r="AN42" s="138"/>
      <c r="AO42" s="138"/>
      <c r="AP42" s="138"/>
      <c r="AQ42" s="138"/>
      <c r="AR42" s="138"/>
      <c r="AS42" s="138"/>
      <c r="AT42" s="138"/>
      <c r="AU42" s="138"/>
      <c r="AV42" s="138"/>
      <c r="AW42" s="138"/>
      <c r="AX42" s="138"/>
      <c r="AY42" s="138"/>
      <c r="AZ42" s="138"/>
      <c r="BA42" s="138"/>
      <c r="BB42" s="138"/>
      <c r="BC42" s="138"/>
      <c r="BD42" s="138"/>
      <c r="BE42" s="138"/>
      <c r="BF42" s="138"/>
      <c r="BG42" s="138"/>
      <c r="BH42" s="138"/>
      <c r="BI42" s="138"/>
      <c r="BJ42" s="140"/>
      <c r="BK42" s="32" t="str">
        <f t="shared" ref="BK42:BK51" si="21">IF(P42&lt;&gt;"",O42&amp;"_"&amp;P42&amp;".sql","")</f>
        <v>ENT_01_A3-24_バックアップ_薬効ATC分類1マスタ.sql</v>
      </c>
    </row>
    <row r="43" spans="1:63" ht="37.5" hidden="1" customHeight="1" outlineLevel="1">
      <c r="A43" s="34" t="str">
        <f t="shared" si="17"/>
        <v>バックアップ_薬効ATC分類2マスタ</v>
      </c>
      <c r="B43" s="144" t="str">
        <f t="shared" si="20"/>
        <v>01</v>
      </c>
      <c r="C43" s="145"/>
      <c r="D43" s="145"/>
      <c r="E43" s="145"/>
      <c r="F43" s="146"/>
      <c r="G43" s="141" t="s">
        <v>197</v>
      </c>
      <c r="H43" s="142"/>
      <c r="I43" s="142"/>
      <c r="J43" s="142"/>
      <c r="K43" s="142"/>
      <c r="L43" s="142"/>
      <c r="M43" s="142"/>
      <c r="N43" s="143"/>
      <c r="O43" s="81" t="s">
        <v>3273</v>
      </c>
      <c r="P43" s="134" t="s">
        <v>3293</v>
      </c>
      <c r="Q43" s="135"/>
      <c r="R43" s="135"/>
      <c r="S43" s="135"/>
      <c r="T43" s="135"/>
      <c r="U43" s="135"/>
      <c r="V43" s="135"/>
      <c r="W43" s="135"/>
      <c r="X43" s="135"/>
      <c r="Y43" s="135"/>
      <c r="Z43" s="135"/>
      <c r="AA43" s="135"/>
      <c r="AB43" s="135"/>
      <c r="AC43" s="135"/>
      <c r="AD43" s="136"/>
      <c r="AE43" s="137" t="str">
        <f t="shared" ca="1" si="18"/>
        <v>azn_202310_backup_mt_yakko_atc2</v>
      </c>
      <c r="AF43" s="138"/>
      <c r="AG43" s="138"/>
      <c r="AH43" s="138"/>
      <c r="AI43" s="138"/>
      <c r="AJ43" s="138"/>
      <c r="AK43" s="138"/>
      <c r="AL43" s="139"/>
      <c r="AM43" s="137" t="str">
        <f t="shared" ca="1" si="19"/>
        <v>薬効ATC分類2マスタテーブルから組入れ条件の第一条件で絞り込んだ結果を格納するテーブル</v>
      </c>
      <c r="AN43" s="138"/>
      <c r="AO43" s="138"/>
      <c r="AP43" s="138"/>
      <c r="AQ43" s="138"/>
      <c r="AR43" s="138"/>
      <c r="AS43" s="138"/>
      <c r="AT43" s="138"/>
      <c r="AU43" s="138"/>
      <c r="AV43" s="138"/>
      <c r="AW43" s="138"/>
      <c r="AX43" s="138"/>
      <c r="AY43" s="138"/>
      <c r="AZ43" s="138"/>
      <c r="BA43" s="138"/>
      <c r="BB43" s="138"/>
      <c r="BC43" s="138"/>
      <c r="BD43" s="138"/>
      <c r="BE43" s="138"/>
      <c r="BF43" s="138"/>
      <c r="BG43" s="138"/>
      <c r="BH43" s="138"/>
      <c r="BI43" s="138"/>
      <c r="BJ43" s="140"/>
      <c r="BK43" s="32" t="str">
        <f t="shared" si="21"/>
        <v>ENT_01_A3-25_バックアップ_薬効ATC分類2マスタ.sql</v>
      </c>
    </row>
    <row r="44" spans="1:63" ht="37.5" hidden="1" customHeight="1" outlineLevel="1">
      <c r="A44" s="34" t="str">
        <f t="shared" si="17"/>
        <v>バックアップ_薬効ATC分類3マスタ</v>
      </c>
      <c r="B44" s="144" t="str">
        <f t="shared" si="20"/>
        <v>01</v>
      </c>
      <c r="C44" s="145"/>
      <c r="D44" s="145"/>
      <c r="E44" s="145"/>
      <c r="F44" s="146"/>
      <c r="G44" s="141" t="s">
        <v>197</v>
      </c>
      <c r="H44" s="142"/>
      <c r="I44" s="142"/>
      <c r="J44" s="142"/>
      <c r="K44" s="142"/>
      <c r="L44" s="142"/>
      <c r="M44" s="142"/>
      <c r="N44" s="143"/>
      <c r="O44" s="81" t="s">
        <v>3274</v>
      </c>
      <c r="P44" s="134" t="s">
        <v>3294</v>
      </c>
      <c r="Q44" s="135"/>
      <c r="R44" s="135"/>
      <c r="S44" s="135"/>
      <c r="T44" s="135"/>
      <c r="U44" s="135"/>
      <c r="V44" s="135"/>
      <c r="W44" s="135"/>
      <c r="X44" s="135"/>
      <c r="Y44" s="135"/>
      <c r="Z44" s="135"/>
      <c r="AA44" s="135"/>
      <c r="AB44" s="135"/>
      <c r="AC44" s="135"/>
      <c r="AD44" s="136"/>
      <c r="AE44" s="137" t="str">
        <f t="shared" ca="1" si="18"/>
        <v>azn_202310_backup_mt_yakko_atc3</v>
      </c>
      <c r="AF44" s="138"/>
      <c r="AG44" s="138"/>
      <c r="AH44" s="138"/>
      <c r="AI44" s="138"/>
      <c r="AJ44" s="138"/>
      <c r="AK44" s="138"/>
      <c r="AL44" s="139"/>
      <c r="AM44" s="137" t="str">
        <f t="shared" ca="1" si="19"/>
        <v>薬効ATC分類3マスタテーブルから組入れ条件の第一条件で絞り込んだ結果を格納するテーブル</v>
      </c>
      <c r="AN44" s="138"/>
      <c r="AO44" s="138"/>
      <c r="AP44" s="138"/>
      <c r="AQ44" s="138"/>
      <c r="AR44" s="138"/>
      <c r="AS44" s="138"/>
      <c r="AT44" s="138"/>
      <c r="AU44" s="138"/>
      <c r="AV44" s="138"/>
      <c r="AW44" s="138"/>
      <c r="AX44" s="138"/>
      <c r="AY44" s="138"/>
      <c r="AZ44" s="138"/>
      <c r="BA44" s="138"/>
      <c r="BB44" s="138"/>
      <c r="BC44" s="138"/>
      <c r="BD44" s="138"/>
      <c r="BE44" s="138"/>
      <c r="BF44" s="138"/>
      <c r="BG44" s="138"/>
      <c r="BH44" s="138"/>
      <c r="BI44" s="138"/>
      <c r="BJ44" s="140"/>
      <c r="BK44" s="32" t="str">
        <f t="shared" si="21"/>
        <v>ENT_01_A3-26_バックアップ_薬効ATC分類3マスタ.sql</v>
      </c>
    </row>
    <row r="45" spans="1:63" ht="37.5" hidden="1" customHeight="1" outlineLevel="1">
      <c r="A45" s="34" t="str">
        <f t="shared" si="17"/>
        <v>バックアップ_薬効ATC分類4マスタ</v>
      </c>
      <c r="B45" s="144" t="str">
        <f t="shared" si="20"/>
        <v>01</v>
      </c>
      <c r="C45" s="145"/>
      <c r="D45" s="145"/>
      <c r="E45" s="145"/>
      <c r="F45" s="146"/>
      <c r="G45" s="141" t="s">
        <v>197</v>
      </c>
      <c r="H45" s="142"/>
      <c r="I45" s="142"/>
      <c r="J45" s="142"/>
      <c r="K45" s="142"/>
      <c r="L45" s="142"/>
      <c r="M45" s="142"/>
      <c r="N45" s="143"/>
      <c r="O45" s="81" t="s">
        <v>3275</v>
      </c>
      <c r="P45" s="134" t="s">
        <v>3295</v>
      </c>
      <c r="Q45" s="135"/>
      <c r="R45" s="135"/>
      <c r="S45" s="135"/>
      <c r="T45" s="135"/>
      <c r="U45" s="135"/>
      <c r="V45" s="135"/>
      <c r="W45" s="135"/>
      <c r="X45" s="135"/>
      <c r="Y45" s="135"/>
      <c r="Z45" s="135"/>
      <c r="AA45" s="135"/>
      <c r="AB45" s="135"/>
      <c r="AC45" s="135"/>
      <c r="AD45" s="136"/>
      <c r="AE45" s="137" t="str">
        <f t="shared" ca="1" si="18"/>
        <v>azn_202310_backup_mt_yakko_atc4</v>
      </c>
      <c r="AF45" s="138"/>
      <c r="AG45" s="138"/>
      <c r="AH45" s="138"/>
      <c r="AI45" s="138"/>
      <c r="AJ45" s="138"/>
      <c r="AK45" s="138"/>
      <c r="AL45" s="139"/>
      <c r="AM45" s="137" t="str">
        <f t="shared" ca="1" si="19"/>
        <v>薬効ATC分類4マスタテーブルから組入れ条件の第一条件で絞り込んだ結果を格納するテーブル</v>
      </c>
      <c r="AN45" s="138"/>
      <c r="AO45" s="138"/>
      <c r="AP45" s="138"/>
      <c r="AQ45" s="138"/>
      <c r="AR45" s="138"/>
      <c r="AS45" s="138"/>
      <c r="AT45" s="138"/>
      <c r="AU45" s="138"/>
      <c r="AV45" s="138"/>
      <c r="AW45" s="138"/>
      <c r="AX45" s="138"/>
      <c r="AY45" s="138"/>
      <c r="AZ45" s="138"/>
      <c r="BA45" s="138"/>
      <c r="BB45" s="138"/>
      <c r="BC45" s="138"/>
      <c r="BD45" s="138"/>
      <c r="BE45" s="138"/>
      <c r="BF45" s="138"/>
      <c r="BG45" s="138"/>
      <c r="BH45" s="138"/>
      <c r="BI45" s="138"/>
      <c r="BJ45" s="140"/>
      <c r="BK45" s="32" t="str">
        <f t="shared" si="21"/>
        <v>ENT_01_A3-27_バックアップ_薬効ATC分類4マスタ.sql</v>
      </c>
    </row>
    <row r="46" spans="1:63" ht="37.5" hidden="1" customHeight="1" outlineLevel="1">
      <c r="A46" s="34" t="str">
        <f t="shared" si="17"/>
        <v>バックアップ_薬効ATC分類5マスタ</v>
      </c>
      <c r="B46" s="144" t="str">
        <f t="shared" si="20"/>
        <v>01</v>
      </c>
      <c r="C46" s="145"/>
      <c r="D46" s="145"/>
      <c r="E46" s="145"/>
      <c r="F46" s="146"/>
      <c r="G46" s="141" t="s">
        <v>197</v>
      </c>
      <c r="H46" s="142"/>
      <c r="I46" s="142"/>
      <c r="J46" s="142"/>
      <c r="K46" s="142"/>
      <c r="L46" s="142"/>
      <c r="M46" s="142"/>
      <c r="N46" s="143"/>
      <c r="O46" s="81" t="s">
        <v>3276</v>
      </c>
      <c r="P46" s="134" t="s">
        <v>3296</v>
      </c>
      <c r="Q46" s="135"/>
      <c r="R46" s="135"/>
      <c r="S46" s="135"/>
      <c r="T46" s="135"/>
      <c r="U46" s="135"/>
      <c r="V46" s="135"/>
      <c r="W46" s="135"/>
      <c r="X46" s="135"/>
      <c r="Y46" s="135"/>
      <c r="Z46" s="135"/>
      <c r="AA46" s="135"/>
      <c r="AB46" s="135"/>
      <c r="AC46" s="135"/>
      <c r="AD46" s="136"/>
      <c r="AE46" s="137" t="str">
        <f t="shared" ref="AE46" ca="1" si="22">IFERROR(INDIRECT(P46&amp;"!D8"),"")</f>
        <v>azn_202310_backup_mt_yakko_atc5</v>
      </c>
      <c r="AF46" s="138"/>
      <c r="AG46" s="138"/>
      <c r="AH46" s="138"/>
      <c r="AI46" s="138"/>
      <c r="AJ46" s="138"/>
      <c r="AK46" s="138"/>
      <c r="AL46" s="139"/>
      <c r="AM46" s="137" t="str">
        <f t="shared" ref="AM46" ca="1" si="23">IFERROR(INDIRECT(P46&amp;"!D9"),"")</f>
        <v>薬効ATC分類5マスタテーブルから組入れ条件の第一条件で絞り込んだ結果を格納するテーブル</v>
      </c>
      <c r="AN46" s="138"/>
      <c r="AO46" s="138"/>
      <c r="AP46" s="138"/>
      <c r="AQ46" s="138"/>
      <c r="AR46" s="138"/>
      <c r="AS46" s="138"/>
      <c r="AT46" s="138"/>
      <c r="AU46" s="138"/>
      <c r="AV46" s="138"/>
      <c r="AW46" s="138"/>
      <c r="AX46" s="138"/>
      <c r="AY46" s="138"/>
      <c r="AZ46" s="138"/>
      <c r="BA46" s="138"/>
      <c r="BB46" s="138"/>
      <c r="BC46" s="138"/>
      <c r="BD46" s="138"/>
      <c r="BE46" s="138"/>
      <c r="BF46" s="138"/>
      <c r="BG46" s="138"/>
      <c r="BH46" s="138"/>
      <c r="BI46" s="138"/>
      <c r="BJ46" s="140"/>
      <c r="BK46" s="32" t="str">
        <f t="shared" si="21"/>
        <v>ENT_01_A3-28_バックアップ_薬効ATC分類5マスタ.sql</v>
      </c>
    </row>
    <row r="47" spans="1:63" ht="37.5" hidden="1" customHeight="1" outlineLevel="1">
      <c r="A47" s="34" t="str">
        <f t="shared" si="17"/>
        <v>バックアップ_疾病マスタ</v>
      </c>
      <c r="B47" s="144" t="str">
        <f t="shared" si="20"/>
        <v>01</v>
      </c>
      <c r="C47" s="145"/>
      <c r="D47" s="145"/>
      <c r="E47" s="145"/>
      <c r="F47" s="146"/>
      <c r="G47" s="141" t="s">
        <v>197</v>
      </c>
      <c r="H47" s="142"/>
      <c r="I47" s="142"/>
      <c r="J47" s="142"/>
      <c r="K47" s="142"/>
      <c r="L47" s="142"/>
      <c r="M47" s="142"/>
      <c r="N47" s="143"/>
      <c r="O47" s="81" t="s">
        <v>3277</v>
      </c>
      <c r="P47" s="134" t="s">
        <v>3297</v>
      </c>
      <c r="Q47" s="135"/>
      <c r="R47" s="135"/>
      <c r="S47" s="135"/>
      <c r="T47" s="135"/>
      <c r="U47" s="135"/>
      <c r="V47" s="135"/>
      <c r="W47" s="135"/>
      <c r="X47" s="135"/>
      <c r="Y47" s="135"/>
      <c r="Z47" s="135"/>
      <c r="AA47" s="135"/>
      <c r="AB47" s="135"/>
      <c r="AC47" s="135"/>
      <c r="AD47" s="136"/>
      <c r="AE47" s="137" t="str">
        <f t="shared" ref="AE47:AE51" ca="1" si="24">IFERROR(INDIRECT(P47&amp;"!D8"),"")</f>
        <v>azn_202310_backup_mt_shippei</v>
      </c>
      <c r="AF47" s="138"/>
      <c r="AG47" s="138"/>
      <c r="AH47" s="138"/>
      <c r="AI47" s="138"/>
      <c r="AJ47" s="138"/>
      <c r="AK47" s="138"/>
      <c r="AL47" s="139"/>
      <c r="AM47" s="137" t="str">
        <f t="shared" ref="AM47:AM51" ca="1" si="25">IFERROR(INDIRECT(P47&amp;"!D9"),"")</f>
        <v>疾病マスタテーブルから組入れ条件の第一条件で絞り込んだ結果を格納するテーブル</v>
      </c>
      <c r="AN47" s="138"/>
      <c r="AO47" s="138"/>
      <c r="AP47" s="138"/>
      <c r="AQ47" s="138"/>
      <c r="AR47" s="138"/>
      <c r="AS47" s="138"/>
      <c r="AT47" s="138"/>
      <c r="AU47" s="138"/>
      <c r="AV47" s="138"/>
      <c r="AW47" s="138"/>
      <c r="AX47" s="138"/>
      <c r="AY47" s="138"/>
      <c r="AZ47" s="138"/>
      <c r="BA47" s="138"/>
      <c r="BB47" s="138"/>
      <c r="BC47" s="138"/>
      <c r="BD47" s="138"/>
      <c r="BE47" s="138"/>
      <c r="BF47" s="138"/>
      <c r="BG47" s="138"/>
      <c r="BH47" s="138"/>
      <c r="BI47" s="138"/>
      <c r="BJ47" s="140"/>
      <c r="BK47" s="32" t="str">
        <f t="shared" si="21"/>
        <v>ENT_01_A3-29_バックアップ_疾病マスタ.sql</v>
      </c>
    </row>
    <row r="48" spans="1:63" ht="37.5" hidden="1" customHeight="1" outlineLevel="1">
      <c r="A48" s="34" t="str">
        <f t="shared" si="17"/>
        <v>バックアップ_ICD10大分類マスタ</v>
      </c>
      <c r="B48" s="144" t="str">
        <f t="shared" si="20"/>
        <v>01</v>
      </c>
      <c r="C48" s="145"/>
      <c r="D48" s="145"/>
      <c r="E48" s="145"/>
      <c r="F48" s="146"/>
      <c r="G48" s="141" t="s">
        <v>197</v>
      </c>
      <c r="H48" s="142"/>
      <c r="I48" s="142"/>
      <c r="J48" s="142"/>
      <c r="K48" s="142"/>
      <c r="L48" s="142"/>
      <c r="M48" s="142"/>
      <c r="N48" s="143"/>
      <c r="O48" s="81" t="s">
        <v>3281</v>
      </c>
      <c r="P48" s="134" t="s">
        <v>3298</v>
      </c>
      <c r="Q48" s="135"/>
      <c r="R48" s="135"/>
      <c r="S48" s="135"/>
      <c r="T48" s="135"/>
      <c r="U48" s="135"/>
      <c r="V48" s="135"/>
      <c r="W48" s="135"/>
      <c r="X48" s="135"/>
      <c r="Y48" s="135"/>
      <c r="Z48" s="135"/>
      <c r="AA48" s="135"/>
      <c r="AB48" s="135"/>
      <c r="AC48" s="135"/>
      <c r="AD48" s="136"/>
      <c r="AE48" s="137" t="str">
        <f t="shared" ca="1" si="24"/>
        <v>azn_202310_backup_mt_icd10_l</v>
      </c>
      <c r="AF48" s="138"/>
      <c r="AG48" s="138"/>
      <c r="AH48" s="138"/>
      <c r="AI48" s="138"/>
      <c r="AJ48" s="138"/>
      <c r="AK48" s="138"/>
      <c r="AL48" s="139"/>
      <c r="AM48" s="137" t="str">
        <f t="shared" ca="1" si="25"/>
        <v>ICD10大分類マスタテーブルから組入れ条件の第一条件で絞り込んだ結果を格納するテーブル</v>
      </c>
      <c r="AN48" s="138"/>
      <c r="AO48" s="138"/>
      <c r="AP48" s="138"/>
      <c r="AQ48" s="138"/>
      <c r="AR48" s="138"/>
      <c r="AS48" s="138"/>
      <c r="AT48" s="138"/>
      <c r="AU48" s="138"/>
      <c r="AV48" s="138"/>
      <c r="AW48" s="138"/>
      <c r="AX48" s="138"/>
      <c r="AY48" s="138"/>
      <c r="AZ48" s="138"/>
      <c r="BA48" s="138"/>
      <c r="BB48" s="138"/>
      <c r="BC48" s="138"/>
      <c r="BD48" s="138"/>
      <c r="BE48" s="138"/>
      <c r="BF48" s="138"/>
      <c r="BG48" s="138"/>
      <c r="BH48" s="138"/>
      <c r="BI48" s="138"/>
      <c r="BJ48" s="140"/>
      <c r="BK48" s="32" t="str">
        <f t="shared" si="21"/>
        <v>ENT_01_A3-30_バックアップ_ICD10大分類マスタ.sql</v>
      </c>
    </row>
    <row r="49" spans="1:63" ht="37.5" hidden="1" customHeight="1" outlineLevel="1">
      <c r="A49" s="34" t="str">
        <f t="shared" si="17"/>
        <v>バックアップ_ICD10中分類マスタ</v>
      </c>
      <c r="B49" s="144" t="str">
        <f t="shared" si="20"/>
        <v>01</v>
      </c>
      <c r="C49" s="145"/>
      <c r="D49" s="145"/>
      <c r="E49" s="145"/>
      <c r="F49" s="146"/>
      <c r="G49" s="141" t="s">
        <v>197</v>
      </c>
      <c r="H49" s="142"/>
      <c r="I49" s="142"/>
      <c r="J49" s="142"/>
      <c r="K49" s="142"/>
      <c r="L49" s="142"/>
      <c r="M49" s="142"/>
      <c r="N49" s="143"/>
      <c r="O49" s="81" t="s">
        <v>3278</v>
      </c>
      <c r="P49" s="134" t="s">
        <v>3299</v>
      </c>
      <c r="Q49" s="135"/>
      <c r="R49" s="135"/>
      <c r="S49" s="135"/>
      <c r="T49" s="135"/>
      <c r="U49" s="135"/>
      <c r="V49" s="135"/>
      <c r="W49" s="135"/>
      <c r="X49" s="135"/>
      <c r="Y49" s="135"/>
      <c r="Z49" s="135"/>
      <c r="AA49" s="135"/>
      <c r="AB49" s="135"/>
      <c r="AC49" s="135"/>
      <c r="AD49" s="136"/>
      <c r="AE49" s="137" t="str">
        <f t="shared" ca="1" si="24"/>
        <v>azn_202310_backup_mt_icd10_m</v>
      </c>
      <c r="AF49" s="138"/>
      <c r="AG49" s="138"/>
      <c r="AH49" s="138"/>
      <c r="AI49" s="138"/>
      <c r="AJ49" s="138"/>
      <c r="AK49" s="138"/>
      <c r="AL49" s="139"/>
      <c r="AM49" s="137" t="str">
        <f t="shared" ca="1" si="25"/>
        <v>ICD10中分類マスタテーブルから組入れ条件の第一条件で絞り込んだ結果を格納するテーブル</v>
      </c>
      <c r="AN49" s="138"/>
      <c r="AO49" s="138"/>
      <c r="AP49" s="138"/>
      <c r="AQ49" s="138"/>
      <c r="AR49" s="138"/>
      <c r="AS49" s="138"/>
      <c r="AT49" s="138"/>
      <c r="AU49" s="138"/>
      <c r="AV49" s="138"/>
      <c r="AW49" s="138"/>
      <c r="AX49" s="138"/>
      <c r="AY49" s="138"/>
      <c r="AZ49" s="138"/>
      <c r="BA49" s="138"/>
      <c r="BB49" s="138"/>
      <c r="BC49" s="138"/>
      <c r="BD49" s="138"/>
      <c r="BE49" s="138"/>
      <c r="BF49" s="138"/>
      <c r="BG49" s="138"/>
      <c r="BH49" s="138"/>
      <c r="BI49" s="138"/>
      <c r="BJ49" s="140"/>
      <c r="BK49" s="32" t="str">
        <f t="shared" si="21"/>
        <v>ENT_01_A3-31_バックアップ_ICD10中分類マスタ.sql</v>
      </c>
    </row>
    <row r="50" spans="1:63" ht="37.5" hidden="1" customHeight="1" outlineLevel="1">
      <c r="A50" s="34" t="str">
        <f t="shared" si="17"/>
        <v>バックアップ_ICD10小分類マスタ</v>
      </c>
      <c r="B50" s="144" t="str">
        <f t="shared" si="20"/>
        <v>01</v>
      </c>
      <c r="C50" s="145"/>
      <c r="D50" s="145"/>
      <c r="E50" s="145"/>
      <c r="F50" s="146"/>
      <c r="G50" s="141" t="s">
        <v>197</v>
      </c>
      <c r="H50" s="142"/>
      <c r="I50" s="142"/>
      <c r="J50" s="142"/>
      <c r="K50" s="142"/>
      <c r="L50" s="142"/>
      <c r="M50" s="142"/>
      <c r="N50" s="143"/>
      <c r="O50" s="81" t="s">
        <v>3279</v>
      </c>
      <c r="P50" s="134" t="s">
        <v>3300</v>
      </c>
      <c r="Q50" s="135"/>
      <c r="R50" s="135"/>
      <c r="S50" s="135"/>
      <c r="T50" s="135"/>
      <c r="U50" s="135"/>
      <c r="V50" s="135"/>
      <c r="W50" s="135"/>
      <c r="X50" s="135"/>
      <c r="Y50" s="135"/>
      <c r="Z50" s="135"/>
      <c r="AA50" s="135"/>
      <c r="AB50" s="135"/>
      <c r="AC50" s="135"/>
      <c r="AD50" s="136"/>
      <c r="AE50" s="137" t="str">
        <f t="shared" ca="1" si="24"/>
        <v>azn_202310_backup_mt_icd10_s</v>
      </c>
      <c r="AF50" s="138"/>
      <c r="AG50" s="138"/>
      <c r="AH50" s="138"/>
      <c r="AI50" s="138"/>
      <c r="AJ50" s="138"/>
      <c r="AK50" s="138"/>
      <c r="AL50" s="139"/>
      <c r="AM50" s="137" t="str">
        <f t="shared" ca="1" si="25"/>
        <v>ICD10小分類マスタテーブルから組入れ条件の第一条件で絞り込んだ結果を格納するテーブル</v>
      </c>
      <c r="AN50" s="138"/>
      <c r="AO50" s="138"/>
      <c r="AP50" s="138"/>
      <c r="AQ50" s="138"/>
      <c r="AR50" s="138"/>
      <c r="AS50" s="138"/>
      <c r="AT50" s="138"/>
      <c r="AU50" s="138"/>
      <c r="AV50" s="138"/>
      <c r="AW50" s="138"/>
      <c r="AX50" s="138"/>
      <c r="AY50" s="138"/>
      <c r="AZ50" s="138"/>
      <c r="BA50" s="138"/>
      <c r="BB50" s="138"/>
      <c r="BC50" s="138"/>
      <c r="BD50" s="138"/>
      <c r="BE50" s="138"/>
      <c r="BF50" s="138"/>
      <c r="BG50" s="138"/>
      <c r="BH50" s="138"/>
      <c r="BI50" s="138"/>
      <c r="BJ50" s="140"/>
      <c r="BK50" s="32" t="str">
        <f t="shared" si="21"/>
        <v>ENT_01_A3-32_バックアップ_ICD10小分類マスタ.sql</v>
      </c>
    </row>
    <row r="51" spans="1:63" ht="37.5" hidden="1" customHeight="1" outlineLevel="1">
      <c r="A51" s="34" t="str">
        <f t="shared" si="17"/>
        <v>バックアップ_ICD10細分類マスタ</v>
      </c>
      <c r="B51" s="144" t="str">
        <f t="shared" si="20"/>
        <v>01</v>
      </c>
      <c r="C51" s="145"/>
      <c r="D51" s="145"/>
      <c r="E51" s="145"/>
      <c r="F51" s="146"/>
      <c r="G51" s="141" t="s">
        <v>197</v>
      </c>
      <c r="H51" s="142"/>
      <c r="I51" s="142"/>
      <c r="J51" s="142"/>
      <c r="K51" s="142"/>
      <c r="L51" s="142"/>
      <c r="M51" s="142"/>
      <c r="N51" s="143"/>
      <c r="O51" s="81" t="s">
        <v>3280</v>
      </c>
      <c r="P51" s="134" t="s">
        <v>3301</v>
      </c>
      <c r="Q51" s="135"/>
      <c r="R51" s="135"/>
      <c r="S51" s="135"/>
      <c r="T51" s="135"/>
      <c r="U51" s="135"/>
      <c r="V51" s="135"/>
      <c r="W51" s="135"/>
      <c r="X51" s="135"/>
      <c r="Y51" s="135"/>
      <c r="Z51" s="135"/>
      <c r="AA51" s="135"/>
      <c r="AB51" s="135"/>
      <c r="AC51" s="135"/>
      <c r="AD51" s="136"/>
      <c r="AE51" s="137" t="str">
        <f t="shared" ca="1" si="24"/>
        <v>azn_202310_backup_mt_icd10_ss</v>
      </c>
      <c r="AF51" s="138"/>
      <c r="AG51" s="138"/>
      <c r="AH51" s="138"/>
      <c r="AI51" s="138"/>
      <c r="AJ51" s="138"/>
      <c r="AK51" s="138"/>
      <c r="AL51" s="139"/>
      <c r="AM51" s="137" t="str">
        <f t="shared" ca="1" si="25"/>
        <v>ICD10細分類マスタテーブルから組入れ条件の第一条件で絞り込んだ結果を格納するテーブル</v>
      </c>
      <c r="AN51" s="138"/>
      <c r="AO51" s="138"/>
      <c r="AP51" s="138"/>
      <c r="AQ51" s="138"/>
      <c r="AR51" s="138"/>
      <c r="AS51" s="138"/>
      <c r="AT51" s="138"/>
      <c r="AU51" s="138"/>
      <c r="AV51" s="138"/>
      <c r="AW51" s="138"/>
      <c r="AX51" s="138"/>
      <c r="AY51" s="138"/>
      <c r="AZ51" s="138"/>
      <c r="BA51" s="138"/>
      <c r="BB51" s="138"/>
      <c r="BC51" s="138"/>
      <c r="BD51" s="138"/>
      <c r="BE51" s="138"/>
      <c r="BF51" s="138"/>
      <c r="BG51" s="138"/>
      <c r="BH51" s="138"/>
      <c r="BI51" s="138"/>
      <c r="BJ51" s="140"/>
      <c r="BK51" s="32" t="str">
        <f t="shared" si="21"/>
        <v>ENT_01_A3-33_バックアップ_ICD10細分類マスタ.sql</v>
      </c>
    </row>
    <row r="52" spans="1:63" ht="37.5" hidden="1" customHeight="1" outlineLevel="1">
      <c r="A52" s="34" t="str">
        <f t="shared" ref="A52:A55" si="26">P52</f>
        <v>バックアップ_DPC2桁マスタ</v>
      </c>
      <c r="B52" s="144" t="str">
        <f t="shared" si="20"/>
        <v>01</v>
      </c>
      <c r="C52" s="145"/>
      <c r="D52" s="145"/>
      <c r="E52" s="145"/>
      <c r="F52" s="146"/>
      <c r="G52" s="141" t="s">
        <v>197</v>
      </c>
      <c r="H52" s="142"/>
      <c r="I52" s="142"/>
      <c r="J52" s="142"/>
      <c r="K52" s="142"/>
      <c r="L52" s="142"/>
      <c r="M52" s="142"/>
      <c r="N52" s="143"/>
      <c r="O52" s="81" t="s">
        <v>3282</v>
      </c>
      <c r="P52" s="134" t="s">
        <v>3302</v>
      </c>
      <c r="Q52" s="135"/>
      <c r="R52" s="135"/>
      <c r="S52" s="135"/>
      <c r="T52" s="135"/>
      <c r="U52" s="135"/>
      <c r="V52" s="135"/>
      <c r="W52" s="135"/>
      <c r="X52" s="135"/>
      <c r="Y52" s="135"/>
      <c r="Z52" s="135"/>
      <c r="AA52" s="135"/>
      <c r="AB52" s="135"/>
      <c r="AC52" s="135"/>
      <c r="AD52" s="136"/>
      <c r="AE52" s="137" t="str">
        <f t="shared" ref="AE52:AE55" ca="1" si="27">IFERROR(INDIRECT(P52&amp;"!D8"),"")</f>
        <v>azn_202310_backup_mt_dpc2</v>
      </c>
      <c r="AF52" s="138"/>
      <c r="AG52" s="138"/>
      <c r="AH52" s="138"/>
      <c r="AI52" s="138"/>
      <c r="AJ52" s="138"/>
      <c r="AK52" s="138"/>
      <c r="AL52" s="139"/>
      <c r="AM52" s="137" t="str">
        <f t="shared" ref="AM52:AM55" ca="1" si="28">IFERROR(INDIRECT(P52&amp;"!D9"),"")</f>
        <v>DPC2桁マスタテーブルから組入れ条件の第一条件で絞り込んだ結果を格納するテーブル</v>
      </c>
      <c r="AN52" s="138"/>
      <c r="AO52" s="138"/>
      <c r="AP52" s="138"/>
      <c r="AQ52" s="138"/>
      <c r="AR52" s="138"/>
      <c r="AS52" s="138"/>
      <c r="AT52" s="138"/>
      <c r="AU52" s="138"/>
      <c r="AV52" s="138"/>
      <c r="AW52" s="138"/>
      <c r="AX52" s="138"/>
      <c r="AY52" s="138"/>
      <c r="AZ52" s="138"/>
      <c r="BA52" s="138"/>
      <c r="BB52" s="138"/>
      <c r="BC52" s="138"/>
      <c r="BD52" s="138"/>
      <c r="BE52" s="138"/>
      <c r="BF52" s="138"/>
      <c r="BG52" s="138"/>
      <c r="BH52" s="138"/>
      <c r="BI52" s="138"/>
      <c r="BJ52" s="140"/>
      <c r="BK52" s="32" t="str">
        <f t="shared" ref="BK52:BK55" si="29">IF(P52&lt;&gt;"",O52&amp;"_"&amp;P52&amp;".sql","")</f>
        <v>ENT_01_A3-34_バックアップ_DPC2桁マスタ.sql</v>
      </c>
    </row>
    <row r="53" spans="1:63" ht="37.5" hidden="1" customHeight="1" outlineLevel="1">
      <c r="A53" s="34" t="str">
        <f t="shared" si="26"/>
        <v>バックアップ_DPC6桁マスタ</v>
      </c>
      <c r="B53" s="144" t="str">
        <f t="shared" si="20"/>
        <v>01</v>
      </c>
      <c r="C53" s="145"/>
      <c r="D53" s="145"/>
      <c r="E53" s="145"/>
      <c r="F53" s="146"/>
      <c r="G53" s="141" t="s">
        <v>197</v>
      </c>
      <c r="H53" s="142"/>
      <c r="I53" s="142"/>
      <c r="J53" s="142"/>
      <c r="K53" s="142"/>
      <c r="L53" s="142"/>
      <c r="M53" s="142"/>
      <c r="N53" s="143"/>
      <c r="O53" s="81" t="s">
        <v>3283</v>
      </c>
      <c r="P53" s="134" t="s">
        <v>3303</v>
      </c>
      <c r="Q53" s="135"/>
      <c r="R53" s="135"/>
      <c r="S53" s="135"/>
      <c r="T53" s="135"/>
      <c r="U53" s="135"/>
      <c r="V53" s="135"/>
      <c r="W53" s="135"/>
      <c r="X53" s="135"/>
      <c r="Y53" s="135"/>
      <c r="Z53" s="135"/>
      <c r="AA53" s="135"/>
      <c r="AB53" s="135"/>
      <c r="AC53" s="135"/>
      <c r="AD53" s="136"/>
      <c r="AE53" s="137" t="str">
        <f t="shared" ca="1" si="27"/>
        <v>azn_202310_backup_mt_dpc6</v>
      </c>
      <c r="AF53" s="138"/>
      <c r="AG53" s="138"/>
      <c r="AH53" s="138"/>
      <c r="AI53" s="138"/>
      <c r="AJ53" s="138"/>
      <c r="AK53" s="138"/>
      <c r="AL53" s="139"/>
      <c r="AM53" s="137" t="str">
        <f t="shared" ca="1" si="28"/>
        <v>DPC6桁マスタテーブルから組入れ条件の第一条件で絞り込んだ結果を格納するテーブル</v>
      </c>
      <c r="AN53" s="138"/>
      <c r="AO53" s="138"/>
      <c r="AP53" s="138"/>
      <c r="AQ53" s="138"/>
      <c r="AR53" s="138"/>
      <c r="AS53" s="138"/>
      <c r="AT53" s="138"/>
      <c r="AU53" s="138"/>
      <c r="AV53" s="138"/>
      <c r="AW53" s="138"/>
      <c r="AX53" s="138"/>
      <c r="AY53" s="138"/>
      <c r="AZ53" s="138"/>
      <c r="BA53" s="138"/>
      <c r="BB53" s="138"/>
      <c r="BC53" s="138"/>
      <c r="BD53" s="138"/>
      <c r="BE53" s="138"/>
      <c r="BF53" s="138"/>
      <c r="BG53" s="138"/>
      <c r="BH53" s="138"/>
      <c r="BI53" s="138"/>
      <c r="BJ53" s="140"/>
      <c r="BK53" s="32" t="str">
        <f t="shared" si="29"/>
        <v>ENT_01_A3-35_バックアップ_DPC6桁マスタ.sql</v>
      </c>
    </row>
    <row r="54" spans="1:63" ht="37.5" hidden="1" customHeight="1" outlineLevel="1">
      <c r="A54" s="34" t="str">
        <f t="shared" si="26"/>
        <v>バックアップ_郵便番号マスタ</v>
      </c>
      <c r="B54" s="144" t="str">
        <f t="shared" si="20"/>
        <v>01</v>
      </c>
      <c r="C54" s="145"/>
      <c r="D54" s="145"/>
      <c r="E54" s="145"/>
      <c r="F54" s="146"/>
      <c r="G54" s="141" t="s">
        <v>197</v>
      </c>
      <c r="H54" s="142"/>
      <c r="I54" s="142"/>
      <c r="J54" s="142"/>
      <c r="K54" s="142"/>
      <c r="L54" s="142"/>
      <c r="M54" s="142"/>
      <c r="N54" s="143"/>
      <c r="O54" s="81" t="s">
        <v>3284</v>
      </c>
      <c r="P54" s="134" t="s">
        <v>3304</v>
      </c>
      <c r="Q54" s="135"/>
      <c r="R54" s="135"/>
      <c r="S54" s="135"/>
      <c r="T54" s="135"/>
      <c r="U54" s="135"/>
      <c r="V54" s="135"/>
      <c r="W54" s="135"/>
      <c r="X54" s="135"/>
      <c r="Y54" s="135"/>
      <c r="Z54" s="135"/>
      <c r="AA54" s="135"/>
      <c r="AB54" s="135"/>
      <c r="AC54" s="135"/>
      <c r="AD54" s="136"/>
      <c r="AE54" s="137" t="str">
        <f t="shared" ca="1" si="27"/>
        <v>azn_202310_backup_mt_postal</v>
      </c>
      <c r="AF54" s="138"/>
      <c r="AG54" s="138"/>
      <c r="AH54" s="138"/>
      <c r="AI54" s="138"/>
      <c r="AJ54" s="138"/>
      <c r="AK54" s="138"/>
      <c r="AL54" s="139"/>
      <c r="AM54" s="137" t="str">
        <f t="shared" ca="1" si="28"/>
        <v>郵便番号マスタテーブルから組入れ条件の第一条件で絞り込んだ結果を格納するテーブル</v>
      </c>
      <c r="AN54" s="138"/>
      <c r="AO54" s="138"/>
      <c r="AP54" s="138"/>
      <c r="AQ54" s="138"/>
      <c r="AR54" s="138"/>
      <c r="AS54" s="138"/>
      <c r="AT54" s="138"/>
      <c r="AU54" s="138"/>
      <c r="AV54" s="138"/>
      <c r="AW54" s="138"/>
      <c r="AX54" s="138"/>
      <c r="AY54" s="138"/>
      <c r="AZ54" s="138"/>
      <c r="BA54" s="138"/>
      <c r="BB54" s="138"/>
      <c r="BC54" s="138"/>
      <c r="BD54" s="138"/>
      <c r="BE54" s="138"/>
      <c r="BF54" s="138"/>
      <c r="BG54" s="138"/>
      <c r="BH54" s="138"/>
      <c r="BI54" s="138"/>
      <c r="BJ54" s="140"/>
      <c r="BK54" s="32" t="str">
        <f t="shared" si="29"/>
        <v>ENT_01_A3-36_バックアップ_郵便番号マスタ.sql</v>
      </c>
    </row>
    <row r="55" spans="1:63" ht="37.5" hidden="1" customHeight="1" outlineLevel="1">
      <c r="A55" s="34" t="str">
        <f t="shared" si="26"/>
        <v>バックアップ_特定機材マスタ</v>
      </c>
      <c r="B55" s="144" t="str">
        <f t="shared" si="20"/>
        <v>01</v>
      </c>
      <c r="C55" s="145"/>
      <c r="D55" s="145"/>
      <c r="E55" s="145"/>
      <c r="F55" s="146"/>
      <c r="G55" s="141" t="s">
        <v>197</v>
      </c>
      <c r="H55" s="142"/>
      <c r="I55" s="142"/>
      <c r="J55" s="142"/>
      <c r="K55" s="142"/>
      <c r="L55" s="142"/>
      <c r="M55" s="142"/>
      <c r="N55" s="143"/>
      <c r="O55" s="81" t="s">
        <v>3285</v>
      </c>
      <c r="P55" s="134" t="s">
        <v>3305</v>
      </c>
      <c r="Q55" s="135"/>
      <c r="R55" s="135"/>
      <c r="S55" s="135"/>
      <c r="T55" s="135"/>
      <c r="U55" s="135"/>
      <c r="V55" s="135"/>
      <c r="W55" s="135"/>
      <c r="X55" s="135"/>
      <c r="Y55" s="135"/>
      <c r="Z55" s="135"/>
      <c r="AA55" s="135"/>
      <c r="AB55" s="135"/>
      <c r="AC55" s="135"/>
      <c r="AD55" s="136"/>
      <c r="AE55" s="137" t="str">
        <f t="shared" ca="1" si="27"/>
        <v>azn_202310_backup_mt_tokutei_kizai</v>
      </c>
      <c r="AF55" s="138"/>
      <c r="AG55" s="138"/>
      <c r="AH55" s="138"/>
      <c r="AI55" s="138"/>
      <c r="AJ55" s="138"/>
      <c r="AK55" s="138"/>
      <c r="AL55" s="139"/>
      <c r="AM55" s="137" t="str">
        <f t="shared" ca="1" si="28"/>
        <v>特定機材マスタテーブルから組入れ条件の第一条件で絞り込んだ結果を格納するテーブル</v>
      </c>
      <c r="AN55" s="138"/>
      <c r="AO55" s="138"/>
      <c r="AP55" s="138"/>
      <c r="AQ55" s="138"/>
      <c r="AR55" s="138"/>
      <c r="AS55" s="138"/>
      <c r="AT55" s="138"/>
      <c r="AU55" s="138"/>
      <c r="AV55" s="138"/>
      <c r="AW55" s="138"/>
      <c r="AX55" s="138"/>
      <c r="AY55" s="138"/>
      <c r="AZ55" s="138"/>
      <c r="BA55" s="138"/>
      <c r="BB55" s="138"/>
      <c r="BC55" s="138"/>
      <c r="BD55" s="138"/>
      <c r="BE55" s="138"/>
      <c r="BF55" s="138"/>
      <c r="BG55" s="138"/>
      <c r="BH55" s="138"/>
      <c r="BI55" s="138"/>
      <c r="BJ55" s="140"/>
      <c r="BK55" s="32" t="str">
        <f t="shared" si="29"/>
        <v>ENT_01_A3-37_バックアップ_特定機材マスタ.sql</v>
      </c>
    </row>
    <row r="56" spans="1:63" ht="37.5" hidden="1" customHeight="1" outlineLevel="1">
      <c r="A56" s="34" t="str">
        <f t="shared" ref="A56:A68" si="30">P56</f>
        <v>バックアップ_年度マスタ</v>
      </c>
      <c r="B56" s="144" t="str">
        <f t="shared" si="20"/>
        <v>01</v>
      </c>
      <c r="C56" s="145"/>
      <c r="D56" s="145"/>
      <c r="E56" s="145"/>
      <c r="F56" s="146"/>
      <c r="G56" s="141" t="s">
        <v>197</v>
      </c>
      <c r="H56" s="142"/>
      <c r="I56" s="142"/>
      <c r="J56" s="142"/>
      <c r="K56" s="142"/>
      <c r="L56" s="142"/>
      <c r="M56" s="142"/>
      <c r="N56" s="143"/>
      <c r="O56" s="81" t="s">
        <v>3204</v>
      </c>
      <c r="P56" s="134" t="s">
        <v>2475</v>
      </c>
      <c r="Q56" s="135"/>
      <c r="R56" s="135"/>
      <c r="S56" s="135"/>
      <c r="T56" s="135"/>
      <c r="U56" s="135"/>
      <c r="V56" s="135"/>
      <c r="W56" s="135"/>
      <c r="X56" s="135"/>
      <c r="Y56" s="135"/>
      <c r="Z56" s="135"/>
      <c r="AA56" s="135"/>
      <c r="AB56" s="135"/>
      <c r="AC56" s="135"/>
      <c r="AD56" s="136"/>
      <c r="AE56" s="137" t="str">
        <f t="shared" ref="AE56:AE68" ca="1" si="31">IFERROR(INDIRECT(P56&amp;"!D8"),"")</f>
        <v>azn_202310_backup_mt2_nendo</v>
      </c>
      <c r="AF56" s="138"/>
      <c r="AG56" s="138"/>
      <c r="AH56" s="138"/>
      <c r="AI56" s="138"/>
      <c r="AJ56" s="138"/>
      <c r="AK56" s="138"/>
      <c r="AL56" s="139"/>
      <c r="AM56" s="137" t="str">
        <f t="shared" ref="AM56:AM68" ca="1" si="32">IFERROR(INDIRECT(P56&amp;"!D9"),"")</f>
        <v>年度マスタテーブルから組入れ条件の第一条件で絞り込んだ結果を格納するテーブル</v>
      </c>
      <c r="AN56" s="138"/>
      <c r="AO56" s="138"/>
      <c r="AP56" s="138"/>
      <c r="AQ56" s="138"/>
      <c r="AR56" s="138"/>
      <c r="AS56" s="138"/>
      <c r="AT56" s="138"/>
      <c r="AU56" s="138"/>
      <c r="AV56" s="138"/>
      <c r="AW56" s="138"/>
      <c r="AX56" s="138"/>
      <c r="AY56" s="138"/>
      <c r="AZ56" s="138"/>
      <c r="BA56" s="138"/>
      <c r="BB56" s="138"/>
      <c r="BC56" s="138"/>
      <c r="BD56" s="138"/>
      <c r="BE56" s="138"/>
      <c r="BF56" s="138"/>
      <c r="BG56" s="138"/>
      <c r="BH56" s="138"/>
      <c r="BI56" s="138"/>
      <c r="BJ56" s="140"/>
      <c r="BK56" s="32" t="str">
        <f t="shared" si="16"/>
        <v>ENT_01_A4-01_バックアップ_年度マスタ.sql</v>
      </c>
    </row>
    <row r="57" spans="1:63" ht="37.5" hidden="1" customHeight="1" outlineLevel="1">
      <c r="A57" s="34" t="str">
        <f t="shared" si="30"/>
        <v>バックアップ_都道府県地方コードマスタ</v>
      </c>
      <c r="B57" s="144" t="str">
        <f t="shared" si="20"/>
        <v>01</v>
      </c>
      <c r="C57" s="145"/>
      <c r="D57" s="145"/>
      <c r="E57" s="145"/>
      <c r="F57" s="146"/>
      <c r="G57" s="141" t="s">
        <v>197</v>
      </c>
      <c r="H57" s="142"/>
      <c r="I57" s="142"/>
      <c r="J57" s="142"/>
      <c r="K57" s="142"/>
      <c r="L57" s="142"/>
      <c r="M57" s="142"/>
      <c r="N57" s="143"/>
      <c r="O57" s="81" t="s">
        <v>3205</v>
      </c>
      <c r="P57" s="134" t="s">
        <v>2499</v>
      </c>
      <c r="Q57" s="135"/>
      <c r="R57" s="135"/>
      <c r="S57" s="135"/>
      <c r="T57" s="135"/>
      <c r="U57" s="135"/>
      <c r="V57" s="135"/>
      <c r="W57" s="135"/>
      <c r="X57" s="135"/>
      <c r="Y57" s="135"/>
      <c r="Z57" s="135"/>
      <c r="AA57" s="135"/>
      <c r="AB57" s="135"/>
      <c r="AC57" s="135"/>
      <c r="AD57" s="136"/>
      <c r="AE57" s="137" t="str">
        <f t="shared" ca="1" si="31"/>
        <v>azn_202310_backup_mt2_prefecture_region</v>
      </c>
      <c r="AF57" s="138"/>
      <c r="AG57" s="138"/>
      <c r="AH57" s="138"/>
      <c r="AI57" s="138"/>
      <c r="AJ57" s="138"/>
      <c r="AK57" s="138"/>
      <c r="AL57" s="139"/>
      <c r="AM57" s="137" t="str">
        <f t="shared" ca="1" si="32"/>
        <v>都道府県地方コードマスタテーブルから組入れ条件の第一条件で絞り込んだ結果を格納するテーブル</v>
      </c>
      <c r="AN57" s="138"/>
      <c r="AO57" s="138"/>
      <c r="AP57" s="138"/>
      <c r="AQ57" s="138"/>
      <c r="AR57" s="138"/>
      <c r="AS57" s="138"/>
      <c r="AT57" s="138"/>
      <c r="AU57" s="138"/>
      <c r="AV57" s="138"/>
      <c r="AW57" s="138"/>
      <c r="AX57" s="138"/>
      <c r="AY57" s="138"/>
      <c r="AZ57" s="138"/>
      <c r="BA57" s="138"/>
      <c r="BB57" s="138"/>
      <c r="BC57" s="138"/>
      <c r="BD57" s="138"/>
      <c r="BE57" s="138"/>
      <c r="BF57" s="138"/>
      <c r="BG57" s="138"/>
      <c r="BH57" s="138"/>
      <c r="BI57" s="138"/>
      <c r="BJ57" s="140"/>
      <c r="BK57" s="32" t="str">
        <f t="shared" si="16"/>
        <v>ENT_01_A4-02_バックアップ_都道府県地方コードマスタ.sql</v>
      </c>
    </row>
    <row r="58" spans="1:63" ht="37.5" hidden="1" customHeight="1" outlineLevel="1">
      <c r="A58" s="34" t="str">
        <f t="shared" si="30"/>
        <v>バックアップ_施設属性マスタ</v>
      </c>
      <c r="B58" s="144" t="str">
        <f t="shared" si="20"/>
        <v>01</v>
      </c>
      <c r="C58" s="145"/>
      <c r="D58" s="145"/>
      <c r="E58" s="145"/>
      <c r="F58" s="146"/>
      <c r="G58" s="141" t="s">
        <v>197</v>
      </c>
      <c r="H58" s="142"/>
      <c r="I58" s="142"/>
      <c r="J58" s="142"/>
      <c r="K58" s="142"/>
      <c r="L58" s="142"/>
      <c r="M58" s="142"/>
      <c r="N58" s="143"/>
      <c r="O58" s="81" t="s">
        <v>3206</v>
      </c>
      <c r="P58" s="134" t="s">
        <v>2535</v>
      </c>
      <c r="Q58" s="135"/>
      <c r="R58" s="135"/>
      <c r="S58" s="135"/>
      <c r="T58" s="135"/>
      <c r="U58" s="135"/>
      <c r="V58" s="135"/>
      <c r="W58" s="135"/>
      <c r="X58" s="135"/>
      <c r="Y58" s="135"/>
      <c r="Z58" s="135"/>
      <c r="AA58" s="135"/>
      <c r="AB58" s="135"/>
      <c r="AC58" s="135"/>
      <c r="AD58" s="136"/>
      <c r="AE58" s="137" t="str">
        <f t="shared" ca="1" si="31"/>
        <v>azn_202310_backup_mt2_shisetsu_zokusei</v>
      </c>
      <c r="AF58" s="138"/>
      <c r="AG58" s="138"/>
      <c r="AH58" s="138"/>
      <c r="AI58" s="138"/>
      <c r="AJ58" s="138"/>
      <c r="AK58" s="138"/>
      <c r="AL58" s="139"/>
      <c r="AM58" s="137" t="str">
        <f t="shared" ca="1" si="32"/>
        <v>施設属性マスタテーブルから組入れ条件の第一条件で絞り込んだ結果を格納するテーブル</v>
      </c>
      <c r="AN58" s="138"/>
      <c r="AO58" s="138"/>
      <c r="AP58" s="138"/>
      <c r="AQ58" s="138"/>
      <c r="AR58" s="138"/>
      <c r="AS58" s="138"/>
      <c r="AT58" s="138"/>
      <c r="AU58" s="138"/>
      <c r="AV58" s="138"/>
      <c r="AW58" s="138"/>
      <c r="AX58" s="138"/>
      <c r="AY58" s="138"/>
      <c r="AZ58" s="138"/>
      <c r="BA58" s="138"/>
      <c r="BB58" s="138"/>
      <c r="BC58" s="138"/>
      <c r="BD58" s="138"/>
      <c r="BE58" s="138"/>
      <c r="BF58" s="138"/>
      <c r="BG58" s="138"/>
      <c r="BH58" s="138"/>
      <c r="BI58" s="138"/>
      <c r="BJ58" s="140"/>
      <c r="BK58" s="32" t="str">
        <f t="shared" si="16"/>
        <v>ENT_01_A4-03_バックアップ_施設属性マスタ.sql</v>
      </c>
    </row>
    <row r="59" spans="1:63" ht="37.5" hidden="1" customHeight="1" outlineLevel="1">
      <c r="A59" s="34" t="str">
        <f t="shared" si="30"/>
        <v>バックアップ_二次医療圏マスタ</v>
      </c>
      <c r="B59" s="144" t="str">
        <f t="shared" si="20"/>
        <v>01</v>
      </c>
      <c r="C59" s="145"/>
      <c r="D59" s="145"/>
      <c r="E59" s="145"/>
      <c r="F59" s="146"/>
      <c r="G59" s="141" t="s">
        <v>197</v>
      </c>
      <c r="H59" s="142"/>
      <c r="I59" s="142"/>
      <c r="J59" s="142"/>
      <c r="K59" s="142"/>
      <c r="L59" s="142"/>
      <c r="M59" s="142"/>
      <c r="N59" s="143"/>
      <c r="O59" s="81" t="s">
        <v>3207</v>
      </c>
      <c r="P59" s="134" t="s">
        <v>2578</v>
      </c>
      <c r="Q59" s="135"/>
      <c r="R59" s="135"/>
      <c r="S59" s="135"/>
      <c r="T59" s="135"/>
      <c r="U59" s="135"/>
      <c r="V59" s="135"/>
      <c r="W59" s="135"/>
      <c r="X59" s="135"/>
      <c r="Y59" s="135"/>
      <c r="Z59" s="135"/>
      <c r="AA59" s="135"/>
      <c r="AB59" s="135"/>
      <c r="AC59" s="135"/>
      <c r="AD59" s="136"/>
      <c r="AE59" s="137" t="str">
        <f t="shared" ca="1" si="31"/>
        <v>azn_202310_backup_mt2_iryouken2</v>
      </c>
      <c r="AF59" s="138"/>
      <c r="AG59" s="138"/>
      <c r="AH59" s="138"/>
      <c r="AI59" s="138"/>
      <c r="AJ59" s="138"/>
      <c r="AK59" s="138"/>
      <c r="AL59" s="139"/>
      <c r="AM59" s="137" t="str">
        <f t="shared" ca="1" si="32"/>
        <v>二次医療圏マスタテーブルから組入れ条件の第一条件で絞り込んだ結果を格納するテーブル</v>
      </c>
      <c r="AN59" s="138"/>
      <c r="AO59" s="138"/>
      <c r="AP59" s="138"/>
      <c r="AQ59" s="138"/>
      <c r="AR59" s="138"/>
      <c r="AS59" s="138"/>
      <c r="AT59" s="138"/>
      <c r="AU59" s="138"/>
      <c r="AV59" s="138"/>
      <c r="AW59" s="138"/>
      <c r="AX59" s="138"/>
      <c r="AY59" s="138"/>
      <c r="AZ59" s="138"/>
      <c r="BA59" s="138"/>
      <c r="BB59" s="138"/>
      <c r="BC59" s="138"/>
      <c r="BD59" s="138"/>
      <c r="BE59" s="138"/>
      <c r="BF59" s="138"/>
      <c r="BG59" s="138"/>
      <c r="BH59" s="138"/>
      <c r="BI59" s="138"/>
      <c r="BJ59" s="140"/>
      <c r="BK59" s="32" t="str">
        <f t="shared" si="16"/>
        <v>ENT_01_A4-04_バックアップ_二次医療圏マスタ.sql</v>
      </c>
    </row>
    <row r="60" spans="1:63" ht="37.5" hidden="1" customHeight="1" outlineLevel="1">
      <c r="A60" s="34" t="str">
        <f t="shared" si="30"/>
        <v>バックアップ_施設ID対応マスタ</v>
      </c>
      <c r="B60" s="144" t="str">
        <f t="shared" si="20"/>
        <v>01</v>
      </c>
      <c r="C60" s="145"/>
      <c r="D60" s="145"/>
      <c r="E60" s="145"/>
      <c r="F60" s="146"/>
      <c r="G60" s="141" t="s">
        <v>197</v>
      </c>
      <c r="H60" s="142"/>
      <c r="I60" s="142"/>
      <c r="J60" s="142"/>
      <c r="K60" s="142"/>
      <c r="L60" s="142"/>
      <c r="M60" s="142"/>
      <c r="N60" s="143"/>
      <c r="O60" s="81" t="s">
        <v>3208</v>
      </c>
      <c r="P60" s="134" t="s">
        <v>2583</v>
      </c>
      <c r="Q60" s="135"/>
      <c r="R60" s="135"/>
      <c r="S60" s="135"/>
      <c r="T60" s="135"/>
      <c r="U60" s="135"/>
      <c r="V60" s="135"/>
      <c r="W60" s="135"/>
      <c r="X60" s="135"/>
      <c r="Y60" s="135"/>
      <c r="Z60" s="135"/>
      <c r="AA60" s="135"/>
      <c r="AB60" s="135"/>
      <c r="AC60" s="135"/>
      <c r="AD60" s="136"/>
      <c r="AE60" s="137" t="str">
        <f t="shared" ca="1" si="31"/>
        <v>azn_202310_backup_mt2_old_new_shisetsu</v>
      </c>
      <c r="AF60" s="138"/>
      <c r="AG60" s="138"/>
      <c r="AH60" s="138"/>
      <c r="AI60" s="138"/>
      <c r="AJ60" s="138"/>
      <c r="AK60" s="138"/>
      <c r="AL60" s="139"/>
      <c r="AM60" s="137" t="str">
        <f t="shared" ca="1" si="32"/>
        <v>施設ID対応マスタテーブルから組入れ条件の第一条件で絞り込んだ結果を格納するテーブル</v>
      </c>
      <c r="AN60" s="138"/>
      <c r="AO60" s="138"/>
      <c r="AP60" s="138"/>
      <c r="AQ60" s="138"/>
      <c r="AR60" s="138"/>
      <c r="AS60" s="138"/>
      <c r="AT60" s="138"/>
      <c r="AU60" s="138"/>
      <c r="AV60" s="138"/>
      <c r="AW60" s="138"/>
      <c r="AX60" s="138"/>
      <c r="AY60" s="138"/>
      <c r="AZ60" s="138"/>
      <c r="BA60" s="138"/>
      <c r="BB60" s="138"/>
      <c r="BC60" s="138"/>
      <c r="BD60" s="138"/>
      <c r="BE60" s="138"/>
      <c r="BF60" s="138"/>
      <c r="BG60" s="138"/>
      <c r="BH60" s="138"/>
      <c r="BI60" s="138"/>
      <c r="BJ60" s="140"/>
      <c r="BK60" s="32" t="str">
        <f t="shared" si="16"/>
        <v>ENT_01_A4-05_バックアップ_施設ID対応マスタ.sql</v>
      </c>
    </row>
    <row r="61" spans="1:63" ht="37.5" hidden="1" customHeight="1" outlineLevel="1">
      <c r="A61" s="34" t="str">
        <f t="shared" si="30"/>
        <v>バックアップ_医薬品関連マスタ</v>
      </c>
      <c r="B61" s="144" t="str">
        <f t="shared" si="20"/>
        <v>01</v>
      </c>
      <c r="C61" s="145"/>
      <c r="D61" s="145"/>
      <c r="E61" s="145"/>
      <c r="F61" s="146"/>
      <c r="G61" s="141" t="s">
        <v>197</v>
      </c>
      <c r="H61" s="142"/>
      <c r="I61" s="142"/>
      <c r="J61" s="142"/>
      <c r="K61" s="142"/>
      <c r="L61" s="142"/>
      <c r="M61" s="142"/>
      <c r="N61" s="143"/>
      <c r="O61" s="81" t="s">
        <v>3209</v>
      </c>
      <c r="P61" s="134" t="s">
        <v>2591</v>
      </c>
      <c r="Q61" s="135"/>
      <c r="R61" s="135"/>
      <c r="S61" s="135"/>
      <c r="T61" s="135"/>
      <c r="U61" s="135"/>
      <c r="V61" s="135"/>
      <c r="W61" s="135"/>
      <c r="X61" s="135"/>
      <c r="Y61" s="135"/>
      <c r="Z61" s="135"/>
      <c r="AA61" s="135"/>
      <c r="AB61" s="135"/>
      <c r="AC61" s="135"/>
      <c r="AD61" s="136"/>
      <c r="AE61" s="137" t="str">
        <f t="shared" ca="1" si="31"/>
        <v>azn_202310_backup_mt2_iyakuhin_kanren</v>
      </c>
      <c r="AF61" s="138"/>
      <c r="AG61" s="138"/>
      <c r="AH61" s="138"/>
      <c r="AI61" s="138"/>
      <c r="AJ61" s="138"/>
      <c r="AK61" s="138"/>
      <c r="AL61" s="139"/>
      <c r="AM61" s="137" t="str">
        <f t="shared" ca="1" si="32"/>
        <v>医薬品関連マスタテーブルから組入れ条件の第一条件で絞り込んだ結果を格納するテーブル</v>
      </c>
      <c r="AN61" s="138"/>
      <c r="AO61" s="138"/>
      <c r="AP61" s="138"/>
      <c r="AQ61" s="138"/>
      <c r="AR61" s="138"/>
      <c r="AS61" s="138"/>
      <c r="AT61" s="138"/>
      <c r="AU61" s="138"/>
      <c r="AV61" s="138"/>
      <c r="AW61" s="138"/>
      <c r="AX61" s="138"/>
      <c r="AY61" s="138"/>
      <c r="AZ61" s="138"/>
      <c r="BA61" s="138"/>
      <c r="BB61" s="138"/>
      <c r="BC61" s="138"/>
      <c r="BD61" s="138"/>
      <c r="BE61" s="138"/>
      <c r="BF61" s="138"/>
      <c r="BG61" s="138"/>
      <c r="BH61" s="138"/>
      <c r="BI61" s="138"/>
      <c r="BJ61" s="140"/>
      <c r="BK61" s="32" t="str">
        <f t="shared" si="16"/>
        <v>ENT_01_A4-07_バックアップ_医薬品関連マスタ.sql</v>
      </c>
    </row>
    <row r="62" spans="1:63" ht="37.5" hidden="1" customHeight="1" outlineLevel="1">
      <c r="A62" s="34" t="str">
        <f t="shared" si="30"/>
        <v>バックアップ_薬価関連マスタ</v>
      </c>
      <c r="B62" s="144" t="str">
        <f t="shared" si="20"/>
        <v>01</v>
      </c>
      <c r="C62" s="145"/>
      <c r="D62" s="145"/>
      <c r="E62" s="145"/>
      <c r="F62" s="146"/>
      <c r="G62" s="141" t="s">
        <v>197</v>
      </c>
      <c r="H62" s="142"/>
      <c r="I62" s="142"/>
      <c r="J62" s="142"/>
      <c r="K62" s="142"/>
      <c r="L62" s="142"/>
      <c r="M62" s="142"/>
      <c r="N62" s="143"/>
      <c r="O62" s="81" t="s">
        <v>3210</v>
      </c>
      <c r="P62" s="134" t="s">
        <v>2647</v>
      </c>
      <c r="Q62" s="135"/>
      <c r="R62" s="135"/>
      <c r="S62" s="135"/>
      <c r="T62" s="135"/>
      <c r="U62" s="135"/>
      <c r="V62" s="135"/>
      <c r="W62" s="135"/>
      <c r="X62" s="135"/>
      <c r="Y62" s="135"/>
      <c r="Z62" s="135"/>
      <c r="AA62" s="135"/>
      <c r="AB62" s="135"/>
      <c r="AC62" s="135"/>
      <c r="AD62" s="136"/>
      <c r="AE62" s="137" t="str">
        <f t="shared" ca="1" si="31"/>
        <v>azn_202310_backup_mt2_price_kanren</v>
      </c>
      <c r="AF62" s="138"/>
      <c r="AG62" s="138"/>
      <c r="AH62" s="138"/>
      <c r="AI62" s="138"/>
      <c r="AJ62" s="138"/>
      <c r="AK62" s="138"/>
      <c r="AL62" s="139"/>
      <c r="AM62" s="137" t="str">
        <f t="shared" ca="1" si="32"/>
        <v>薬価関連マスタテーブルから組入れ条件の第一条件で絞り込んだ結果を格納するテーブル</v>
      </c>
      <c r="AN62" s="138"/>
      <c r="AO62" s="138"/>
      <c r="AP62" s="138"/>
      <c r="AQ62" s="138"/>
      <c r="AR62" s="138"/>
      <c r="AS62" s="138"/>
      <c r="AT62" s="138"/>
      <c r="AU62" s="138"/>
      <c r="AV62" s="138"/>
      <c r="AW62" s="138"/>
      <c r="AX62" s="138"/>
      <c r="AY62" s="138"/>
      <c r="AZ62" s="138"/>
      <c r="BA62" s="138"/>
      <c r="BB62" s="138"/>
      <c r="BC62" s="138"/>
      <c r="BD62" s="138"/>
      <c r="BE62" s="138"/>
      <c r="BF62" s="138"/>
      <c r="BG62" s="138"/>
      <c r="BH62" s="138"/>
      <c r="BI62" s="138"/>
      <c r="BJ62" s="140"/>
      <c r="BK62" s="32" t="str">
        <f t="shared" si="16"/>
        <v>ENT_01_A4-08_バックアップ_薬価関連マスタ.sql</v>
      </c>
    </row>
    <row r="63" spans="1:63" ht="37.5" hidden="1" customHeight="1" outlineLevel="1">
      <c r="A63" s="34" t="str">
        <f t="shared" si="30"/>
        <v>バックアップ_診療行為関連マスタ</v>
      </c>
      <c r="B63" s="144" t="str">
        <f t="shared" si="20"/>
        <v>01</v>
      </c>
      <c r="C63" s="145"/>
      <c r="D63" s="145"/>
      <c r="E63" s="145"/>
      <c r="F63" s="146"/>
      <c r="G63" s="141" t="s">
        <v>197</v>
      </c>
      <c r="H63" s="142"/>
      <c r="I63" s="142"/>
      <c r="J63" s="142"/>
      <c r="K63" s="142"/>
      <c r="L63" s="142"/>
      <c r="M63" s="142"/>
      <c r="N63" s="143"/>
      <c r="O63" s="81" t="s">
        <v>3211</v>
      </c>
      <c r="P63" s="134" t="s">
        <v>2654</v>
      </c>
      <c r="Q63" s="135"/>
      <c r="R63" s="135"/>
      <c r="S63" s="135"/>
      <c r="T63" s="135"/>
      <c r="U63" s="135"/>
      <c r="V63" s="135"/>
      <c r="W63" s="135"/>
      <c r="X63" s="135"/>
      <c r="Y63" s="135"/>
      <c r="Z63" s="135"/>
      <c r="AA63" s="135"/>
      <c r="AB63" s="135"/>
      <c r="AC63" s="135"/>
      <c r="AD63" s="136"/>
      <c r="AE63" s="137" t="str">
        <f t="shared" ca="1" si="31"/>
        <v>azn_202310_backup_mt2_shinryo_koi_kanren</v>
      </c>
      <c r="AF63" s="138"/>
      <c r="AG63" s="138"/>
      <c r="AH63" s="138"/>
      <c r="AI63" s="138"/>
      <c r="AJ63" s="138"/>
      <c r="AK63" s="138"/>
      <c r="AL63" s="139"/>
      <c r="AM63" s="137" t="str">
        <f t="shared" ca="1" si="32"/>
        <v>診療行為関連マスタテーブルから組入れ条件の第一条件で絞り込んだ結果を格納するテーブル</v>
      </c>
      <c r="AN63" s="138"/>
      <c r="AO63" s="138"/>
      <c r="AP63" s="138"/>
      <c r="AQ63" s="138"/>
      <c r="AR63" s="138"/>
      <c r="AS63" s="138"/>
      <c r="AT63" s="138"/>
      <c r="AU63" s="138"/>
      <c r="AV63" s="138"/>
      <c r="AW63" s="138"/>
      <c r="AX63" s="138"/>
      <c r="AY63" s="138"/>
      <c r="AZ63" s="138"/>
      <c r="BA63" s="138"/>
      <c r="BB63" s="138"/>
      <c r="BC63" s="138"/>
      <c r="BD63" s="138"/>
      <c r="BE63" s="138"/>
      <c r="BF63" s="138"/>
      <c r="BG63" s="138"/>
      <c r="BH63" s="138"/>
      <c r="BI63" s="138"/>
      <c r="BJ63" s="140"/>
      <c r="BK63" s="32" t="str">
        <f t="shared" si="16"/>
        <v>ENT_01_A4-09_バックアップ_診療行為関連マスタ.sql</v>
      </c>
    </row>
    <row r="64" spans="1:63" ht="37.5" hidden="1" customHeight="1" outlineLevel="1">
      <c r="A64" s="34" t="str">
        <f t="shared" si="30"/>
        <v>バックアップ_特定器材関連マスタ</v>
      </c>
      <c r="B64" s="144" t="str">
        <f t="shared" si="20"/>
        <v>01</v>
      </c>
      <c r="C64" s="145"/>
      <c r="D64" s="145"/>
      <c r="E64" s="145"/>
      <c r="F64" s="146"/>
      <c r="G64" s="141" t="s">
        <v>197</v>
      </c>
      <c r="H64" s="142"/>
      <c r="I64" s="142"/>
      <c r="J64" s="142"/>
      <c r="K64" s="142"/>
      <c r="L64" s="142"/>
      <c r="M64" s="142"/>
      <c r="N64" s="143"/>
      <c r="O64" s="81" t="s">
        <v>3212</v>
      </c>
      <c r="P64" s="134" t="s">
        <v>2674</v>
      </c>
      <c r="Q64" s="135"/>
      <c r="R64" s="135"/>
      <c r="S64" s="135"/>
      <c r="T64" s="135"/>
      <c r="U64" s="135"/>
      <c r="V64" s="135"/>
      <c r="W64" s="135"/>
      <c r="X64" s="135"/>
      <c r="Y64" s="135"/>
      <c r="Z64" s="135"/>
      <c r="AA64" s="135"/>
      <c r="AB64" s="135"/>
      <c r="AC64" s="135"/>
      <c r="AD64" s="136"/>
      <c r="AE64" s="137" t="str">
        <f t="shared" ca="1" si="31"/>
        <v>azn_202310_backup_mt2_tokutei_kizai_kanren</v>
      </c>
      <c r="AF64" s="138"/>
      <c r="AG64" s="138"/>
      <c r="AH64" s="138"/>
      <c r="AI64" s="138"/>
      <c r="AJ64" s="138"/>
      <c r="AK64" s="138"/>
      <c r="AL64" s="139"/>
      <c r="AM64" s="137" t="str">
        <f t="shared" ca="1" si="32"/>
        <v>特定器材関連マスタテーブルから組入れ条件の第一条件で絞り込んだ結果を格納するテーブル</v>
      </c>
      <c r="AN64" s="138"/>
      <c r="AO64" s="138"/>
      <c r="AP64" s="138"/>
      <c r="AQ64" s="138"/>
      <c r="AR64" s="138"/>
      <c r="AS64" s="138"/>
      <c r="AT64" s="138"/>
      <c r="AU64" s="138"/>
      <c r="AV64" s="138"/>
      <c r="AW64" s="138"/>
      <c r="AX64" s="138"/>
      <c r="AY64" s="138"/>
      <c r="AZ64" s="138"/>
      <c r="BA64" s="138"/>
      <c r="BB64" s="138"/>
      <c r="BC64" s="138"/>
      <c r="BD64" s="138"/>
      <c r="BE64" s="138"/>
      <c r="BF64" s="138"/>
      <c r="BG64" s="138"/>
      <c r="BH64" s="138"/>
      <c r="BI64" s="138"/>
      <c r="BJ64" s="140"/>
      <c r="BK64" s="32" t="str">
        <f t="shared" si="16"/>
        <v>ENT_01_A4-10_バックアップ_特定器材関連マスタ.sql</v>
      </c>
    </row>
    <row r="65" spans="1:64" ht="37.5" hidden="1" customHeight="1" outlineLevel="1">
      <c r="A65" s="34" t="str">
        <f t="shared" si="30"/>
        <v>バックアップ_DPC関連マスタ</v>
      </c>
      <c r="B65" s="144" t="str">
        <f t="shared" si="20"/>
        <v>01</v>
      </c>
      <c r="C65" s="145"/>
      <c r="D65" s="145"/>
      <c r="E65" s="145"/>
      <c r="F65" s="146"/>
      <c r="G65" s="141" t="s">
        <v>197</v>
      </c>
      <c r="H65" s="142"/>
      <c r="I65" s="142"/>
      <c r="J65" s="142"/>
      <c r="K65" s="142"/>
      <c r="L65" s="142"/>
      <c r="M65" s="142"/>
      <c r="N65" s="143"/>
      <c r="O65" s="81" t="s">
        <v>3213</v>
      </c>
      <c r="P65" s="134" t="s">
        <v>2686</v>
      </c>
      <c r="Q65" s="135"/>
      <c r="R65" s="135"/>
      <c r="S65" s="135"/>
      <c r="T65" s="135"/>
      <c r="U65" s="135"/>
      <c r="V65" s="135"/>
      <c r="W65" s="135"/>
      <c r="X65" s="135"/>
      <c r="Y65" s="135"/>
      <c r="Z65" s="135"/>
      <c r="AA65" s="135"/>
      <c r="AB65" s="135"/>
      <c r="AC65" s="135"/>
      <c r="AD65" s="136"/>
      <c r="AE65" s="137" t="str">
        <f t="shared" ca="1" si="31"/>
        <v>azn_202310_backup_mt2_dpc_kanren</v>
      </c>
      <c r="AF65" s="138"/>
      <c r="AG65" s="138"/>
      <c r="AH65" s="138"/>
      <c r="AI65" s="138"/>
      <c r="AJ65" s="138"/>
      <c r="AK65" s="138"/>
      <c r="AL65" s="139"/>
      <c r="AM65" s="137" t="str">
        <f t="shared" ca="1" si="32"/>
        <v>DPC関連マスタテーブルから組入れ条件の第一条件で絞り込んだ結果を格納するテーブル</v>
      </c>
      <c r="AN65" s="138"/>
      <c r="AO65" s="138"/>
      <c r="AP65" s="138"/>
      <c r="AQ65" s="138"/>
      <c r="AR65" s="138"/>
      <c r="AS65" s="138"/>
      <c r="AT65" s="138"/>
      <c r="AU65" s="138"/>
      <c r="AV65" s="138"/>
      <c r="AW65" s="138"/>
      <c r="AX65" s="138"/>
      <c r="AY65" s="138"/>
      <c r="AZ65" s="138"/>
      <c r="BA65" s="138"/>
      <c r="BB65" s="138"/>
      <c r="BC65" s="138"/>
      <c r="BD65" s="138"/>
      <c r="BE65" s="138"/>
      <c r="BF65" s="138"/>
      <c r="BG65" s="138"/>
      <c r="BH65" s="138"/>
      <c r="BI65" s="138"/>
      <c r="BJ65" s="140"/>
      <c r="BK65" s="32" t="str">
        <f t="shared" si="16"/>
        <v>ENT_01_A4-11_バックアップ_DPC関連マスタ.sql</v>
      </c>
    </row>
    <row r="66" spans="1:64" ht="37.5" hidden="1" customHeight="1" outlineLevel="1">
      <c r="A66" s="34" t="str">
        <f t="shared" si="30"/>
        <v>バックアップ_疾患関連マスタ</v>
      </c>
      <c r="B66" s="144" t="str">
        <f t="shared" si="20"/>
        <v>01</v>
      </c>
      <c r="C66" s="145"/>
      <c r="D66" s="145"/>
      <c r="E66" s="145"/>
      <c r="F66" s="146"/>
      <c r="G66" s="141" t="s">
        <v>197</v>
      </c>
      <c r="H66" s="142"/>
      <c r="I66" s="142"/>
      <c r="J66" s="142"/>
      <c r="K66" s="142"/>
      <c r="L66" s="142"/>
      <c r="M66" s="142"/>
      <c r="N66" s="143"/>
      <c r="O66" s="81" t="s">
        <v>3214</v>
      </c>
      <c r="P66" s="134" t="s">
        <v>2695</v>
      </c>
      <c r="Q66" s="135"/>
      <c r="R66" s="135"/>
      <c r="S66" s="135"/>
      <c r="T66" s="135"/>
      <c r="U66" s="135"/>
      <c r="V66" s="135"/>
      <c r="W66" s="135"/>
      <c r="X66" s="135"/>
      <c r="Y66" s="135"/>
      <c r="Z66" s="135"/>
      <c r="AA66" s="135"/>
      <c r="AB66" s="135"/>
      <c r="AC66" s="135"/>
      <c r="AD66" s="136"/>
      <c r="AE66" s="137" t="str">
        <f t="shared" ca="1" si="31"/>
        <v>azn_202310_backup_mt2_shikkan_kanren</v>
      </c>
      <c r="AF66" s="138"/>
      <c r="AG66" s="138"/>
      <c r="AH66" s="138"/>
      <c r="AI66" s="138"/>
      <c r="AJ66" s="138"/>
      <c r="AK66" s="138"/>
      <c r="AL66" s="139"/>
      <c r="AM66" s="137" t="str">
        <f t="shared" ca="1" si="32"/>
        <v>疾患関連マスタテーブルから組入れ条件の第一条件で絞り込んだ結果を格納するテーブル</v>
      </c>
      <c r="AN66" s="138"/>
      <c r="AO66" s="138"/>
      <c r="AP66" s="138"/>
      <c r="AQ66" s="138"/>
      <c r="AR66" s="138"/>
      <c r="AS66" s="138"/>
      <c r="AT66" s="138"/>
      <c r="AU66" s="138"/>
      <c r="AV66" s="138"/>
      <c r="AW66" s="138"/>
      <c r="AX66" s="138"/>
      <c r="AY66" s="138"/>
      <c r="AZ66" s="138"/>
      <c r="BA66" s="138"/>
      <c r="BB66" s="138"/>
      <c r="BC66" s="138"/>
      <c r="BD66" s="138"/>
      <c r="BE66" s="138"/>
      <c r="BF66" s="138"/>
      <c r="BG66" s="138"/>
      <c r="BH66" s="138"/>
      <c r="BI66" s="138"/>
      <c r="BJ66" s="140"/>
      <c r="BK66" s="32" t="str">
        <f t="shared" si="16"/>
        <v>ENT_01_A4-12_バックアップ_疾患関連マスタ.sql</v>
      </c>
    </row>
    <row r="67" spans="1:64" ht="37.5" hidden="1" customHeight="1" outlineLevel="1">
      <c r="A67" s="34" t="str">
        <f t="shared" si="30"/>
        <v>バックアップ_医薬品成分関連マスタ</v>
      </c>
      <c r="B67" s="144" t="str">
        <f t="shared" si="20"/>
        <v>01</v>
      </c>
      <c r="C67" s="145"/>
      <c r="D67" s="145"/>
      <c r="E67" s="145"/>
      <c r="F67" s="146"/>
      <c r="G67" s="141" t="s">
        <v>197</v>
      </c>
      <c r="H67" s="142"/>
      <c r="I67" s="142"/>
      <c r="J67" s="142"/>
      <c r="K67" s="142"/>
      <c r="L67" s="142"/>
      <c r="M67" s="142"/>
      <c r="N67" s="143"/>
      <c r="O67" s="81" t="s">
        <v>3215</v>
      </c>
      <c r="P67" s="134" t="s">
        <v>2724</v>
      </c>
      <c r="Q67" s="135"/>
      <c r="R67" s="135"/>
      <c r="S67" s="135"/>
      <c r="T67" s="135"/>
      <c r="U67" s="135"/>
      <c r="V67" s="135"/>
      <c r="W67" s="135"/>
      <c r="X67" s="135"/>
      <c r="Y67" s="135"/>
      <c r="Z67" s="135"/>
      <c r="AA67" s="135"/>
      <c r="AB67" s="135"/>
      <c r="AC67" s="135"/>
      <c r="AD67" s="136"/>
      <c r="AE67" s="137" t="str">
        <f t="shared" ca="1" si="31"/>
        <v>azn_202310_backup_mt2_iyakuhin_seibun_kanren</v>
      </c>
      <c r="AF67" s="138"/>
      <c r="AG67" s="138"/>
      <c r="AH67" s="138"/>
      <c r="AI67" s="138"/>
      <c r="AJ67" s="138"/>
      <c r="AK67" s="138"/>
      <c r="AL67" s="139"/>
      <c r="AM67" s="137" t="str">
        <f t="shared" ca="1" si="32"/>
        <v>医薬品成分関連マスタテーブルから組入れ条件の第一条件で絞り込んだ結果を格納するテーブル</v>
      </c>
      <c r="AN67" s="138"/>
      <c r="AO67" s="138"/>
      <c r="AP67" s="138"/>
      <c r="AQ67" s="138"/>
      <c r="AR67" s="138"/>
      <c r="AS67" s="138"/>
      <c r="AT67" s="138"/>
      <c r="AU67" s="138"/>
      <c r="AV67" s="138"/>
      <c r="AW67" s="138"/>
      <c r="AX67" s="138"/>
      <c r="AY67" s="138"/>
      <c r="AZ67" s="138"/>
      <c r="BA67" s="138"/>
      <c r="BB67" s="138"/>
      <c r="BC67" s="138"/>
      <c r="BD67" s="138"/>
      <c r="BE67" s="138"/>
      <c r="BF67" s="138"/>
      <c r="BG67" s="138"/>
      <c r="BH67" s="138"/>
      <c r="BI67" s="138"/>
      <c r="BJ67" s="140"/>
      <c r="BK67" s="32" t="str">
        <f t="shared" si="16"/>
        <v>ENT_01_A4-13_バックアップ_医薬品成分関連マスタ.sql</v>
      </c>
    </row>
    <row r="68" spans="1:64" ht="37.5" hidden="1" customHeight="1" outlineLevel="1">
      <c r="A68" s="34" t="str">
        <f t="shared" si="30"/>
        <v>バックアップ_医薬品適用病名関連マスタ</v>
      </c>
      <c r="B68" s="144" t="str">
        <f t="shared" si="20"/>
        <v>01</v>
      </c>
      <c r="C68" s="145"/>
      <c r="D68" s="145"/>
      <c r="E68" s="145"/>
      <c r="F68" s="146"/>
      <c r="G68" s="141" t="s">
        <v>197</v>
      </c>
      <c r="H68" s="142"/>
      <c r="I68" s="142"/>
      <c r="J68" s="142"/>
      <c r="K68" s="142"/>
      <c r="L68" s="142"/>
      <c r="M68" s="142"/>
      <c r="N68" s="143"/>
      <c r="O68" s="81" t="s">
        <v>3216</v>
      </c>
      <c r="P68" s="134" t="s">
        <v>2745</v>
      </c>
      <c r="Q68" s="135"/>
      <c r="R68" s="135"/>
      <c r="S68" s="135"/>
      <c r="T68" s="135"/>
      <c r="U68" s="135"/>
      <c r="V68" s="135"/>
      <c r="W68" s="135"/>
      <c r="X68" s="135"/>
      <c r="Y68" s="135"/>
      <c r="Z68" s="135"/>
      <c r="AA68" s="135"/>
      <c r="AB68" s="135"/>
      <c r="AC68" s="135"/>
      <c r="AD68" s="136"/>
      <c r="AE68" s="137" t="str">
        <f t="shared" ca="1" si="31"/>
        <v>azn_202310_backup_mt2_iyakuhin_tekiyou_byomei_kanren</v>
      </c>
      <c r="AF68" s="138"/>
      <c r="AG68" s="138"/>
      <c r="AH68" s="138"/>
      <c r="AI68" s="138"/>
      <c r="AJ68" s="138"/>
      <c r="AK68" s="138"/>
      <c r="AL68" s="139"/>
      <c r="AM68" s="137" t="str">
        <f t="shared" ca="1" si="32"/>
        <v>医薬品適用病名関連マスタテーブルから組入れ条件の第一条件で絞り込んだ結果を格納するテーブル</v>
      </c>
      <c r="AN68" s="138"/>
      <c r="AO68" s="138"/>
      <c r="AP68" s="138"/>
      <c r="AQ68" s="138"/>
      <c r="AR68" s="138"/>
      <c r="AS68" s="138"/>
      <c r="AT68" s="138"/>
      <c r="AU68" s="138"/>
      <c r="AV68" s="138"/>
      <c r="AW68" s="138"/>
      <c r="AX68" s="138"/>
      <c r="AY68" s="138"/>
      <c r="AZ68" s="138"/>
      <c r="BA68" s="138"/>
      <c r="BB68" s="138"/>
      <c r="BC68" s="138"/>
      <c r="BD68" s="138"/>
      <c r="BE68" s="138"/>
      <c r="BF68" s="138"/>
      <c r="BG68" s="138"/>
      <c r="BH68" s="138"/>
      <c r="BI68" s="138"/>
      <c r="BJ68" s="140"/>
      <c r="BK68" s="32" t="str">
        <f t="shared" si="16"/>
        <v>ENT_01_A4-14_バックアップ_医薬品適用病名関連マスタ.sql</v>
      </c>
    </row>
    <row r="69" spans="1:64" ht="37.5" hidden="1" customHeight="1" outlineLevel="1">
      <c r="A69" s="34" t="str">
        <f t="shared" si="12"/>
        <v>バックアップ_MML共通</v>
      </c>
      <c r="B69" s="144" t="str">
        <f t="shared" si="20"/>
        <v>01</v>
      </c>
      <c r="C69" s="145"/>
      <c r="D69" s="145"/>
      <c r="E69" s="145"/>
      <c r="F69" s="146"/>
      <c r="G69" s="141" t="s">
        <v>197</v>
      </c>
      <c r="H69" s="142"/>
      <c r="I69" s="142"/>
      <c r="J69" s="142"/>
      <c r="K69" s="142"/>
      <c r="L69" s="142"/>
      <c r="M69" s="142"/>
      <c r="N69" s="143"/>
      <c r="O69" s="81" t="s">
        <v>3231</v>
      </c>
      <c r="P69" s="134" t="s">
        <v>3232</v>
      </c>
      <c r="Q69" s="135"/>
      <c r="R69" s="135"/>
      <c r="S69" s="135"/>
      <c r="T69" s="135"/>
      <c r="U69" s="135"/>
      <c r="V69" s="135"/>
      <c r="W69" s="135"/>
      <c r="X69" s="135"/>
      <c r="Y69" s="135"/>
      <c r="Z69" s="135"/>
      <c r="AA69" s="135"/>
      <c r="AB69" s="135"/>
      <c r="AC69" s="135"/>
      <c r="AD69" s="136"/>
      <c r="AE69" s="137" t="str">
        <f t="shared" ca="1" si="13"/>
        <v>azn_202310_backup_text_mml_common</v>
      </c>
      <c r="AF69" s="138"/>
      <c r="AG69" s="138"/>
      <c r="AH69" s="138"/>
      <c r="AI69" s="138"/>
      <c r="AJ69" s="138"/>
      <c r="AK69" s="138"/>
      <c r="AL69" s="139"/>
      <c r="AM69" s="137" t="str">
        <f t="shared" ca="1" si="14"/>
        <v>MML共通テーブルから組入れ条件の第一条件で絞り込んだ結果を格納するテーブル</v>
      </c>
      <c r="AN69" s="138"/>
      <c r="AO69" s="138"/>
      <c r="AP69" s="138"/>
      <c r="AQ69" s="138"/>
      <c r="AR69" s="138"/>
      <c r="AS69" s="138"/>
      <c r="AT69" s="138"/>
      <c r="AU69" s="138"/>
      <c r="AV69" s="138"/>
      <c r="AW69" s="138"/>
      <c r="AX69" s="138"/>
      <c r="AY69" s="138"/>
      <c r="AZ69" s="138"/>
      <c r="BA69" s="138"/>
      <c r="BB69" s="138"/>
      <c r="BC69" s="138"/>
      <c r="BD69" s="138"/>
      <c r="BE69" s="138"/>
      <c r="BF69" s="138"/>
      <c r="BG69" s="138"/>
      <c r="BH69" s="138"/>
      <c r="BI69" s="138"/>
      <c r="BJ69" s="140"/>
      <c r="BK69" s="32" t="str">
        <f t="shared" si="16"/>
        <v>ENT_01_A6-02_バックアップ_MML共通.sql</v>
      </c>
      <c r="BL69" s="32">
        <v>1</v>
      </c>
    </row>
    <row r="70" spans="1:64" ht="37.5" hidden="1" customHeight="1" outlineLevel="1">
      <c r="A70" s="34" t="str">
        <f t="shared" ref="A70" si="33">P70</f>
        <v>バックアップ_MML_診断履歴情報モジュール_本文</v>
      </c>
      <c r="B70" s="144" t="str">
        <f t="shared" si="20"/>
        <v>01</v>
      </c>
      <c r="C70" s="145"/>
      <c r="D70" s="145"/>
      <c r="E70" s="145"/>
      <c r="F70" s="146"/>
      <c r="G70" s="141" t="s">
        <v>197</v>
      </c>
      <c r="H70" s="142"/>
      <c r="I70" s="142"/>
      <c r="J70" s="142"/>
      <c r="K70" s="142"/>
      <c r="L70" s="142"/>
      <c r="M70" s="142"/>
      <c r="N70" s="143"/>
      <c r="O70" s="81" t="s">
        <v>3233</v>
      </c>
      <c r="P70" s="134" t="s">
        <v>2824</v>
      </c>
      <c r="Q70" s="135"/>
      <c r="R70" s="135"/>
      <c r="S70" s="135"/>
      <c r="T70" s="135"/>
      <c r="U70" s="135"/>
      <c r="V70" s="135"/>
      <c r="W70" s="135"/>
      <c r="X70" s="135"/>
      <c r="Y70" s="135"/>
      <c r="Z70" s="135"/>
      <c r="AA70" s="135"/>
      <c r="AB70" s="135"/>
      <c r="AC70" s="135"/>
      <c r="AD70" s="136"/>
      <c r="AE70" s="137" t="str">
        <f t="shared" ref="AE70" ca="1" si="34">IFERROR(INDIRECT(P70&amp;"!D8"),"")</f>
        <v>azn_202310_backup_text_mml_mmlrd_body</v>
      </c>
      <c r="AF70" s="138"/>
      <c r="AG70" s="138"/>
      <c r="AH70" s="138"/>
      <c r="AI70" s="138"/>
      <c r="AJ70" s="138"/>
      <c r="AK70" s="138"/>
      <c r="AL70" s="139"/>
      <c r="AM70" s="137" t="str">
        <f t="shared" ref="AM70" ca="1" si="35">IFERROR(INDIRECT(P70&amp;"!D9"),"")</f>
        <v>MML_診断履歴情報モジュール_本文テーブルから組入れ条件の第一条件で絞り込んだ結果を格納するテーブル</v>
      </c>
      <c r="AN70" s="138"/>
      <c r="AO70" s="138"/>
      <c r="AP70" s="138"/>
      <c r="AQ70" s="138"/>
      <c r="AR70" s="138"/>
      <c r="AS70" s="138"/>
      <c r="AT70" s="138"/>
      <c r="AU70" s="138"/>
      <c r="AV70" s="138"/>
      <c r="AW70" s="138"/>
      <c r="AX70" s="138"/>
      <c r="AY70" s="138"/>
      <c r="AZ70" s="138"/>
      <c r="BA70" s="138"/>
      <c r="BB70" s="138"/>
      <c r="BC70" s="138"/>
      <c r="BD70" s="138"/>
      <c r="BE70" s="138"/>
      <c r="BF70" s="138"/>
      <c r="BG70" s="138"/>
      <c r="BH70" s="138"/>
      <c r="BI70" s="138"/>
      <c r="BJ70" s="140"/>
      <c r="BK70" s="32" t="str">
        <f t="shared" si="16"/>
        <v>ENT_01_A6-03_バックアップ_MML_診断履歴情報モジュール_本文.sql</v>
      </c>
      <c r="BL70" s="32">
        <v>1</v>
      </c>
    </row>
    <row r="71" spans="1:64" ht="37.5" hidden="1" customHeight="1" outlineLevel="1">
      <c r="A71" s="34" t="str">
        <f t="shared" si="12"/>
        <v>バックアップ_MML_診断履歴情報モジュール_病名</v>
      </c>
      <c r="B71" s="144" t="str">
        <f t="shared" si="20"/>
        <v>01</v>
      </c>
      <c r="C71" s="145"/>
      <c r="D71" s="145"/>
      <c r="E71" s="145"/>
      <c r="F71" s="146"/>
      <c r="G71" s="141" t="s">
        <v>197</v>
      </c>
      <c r="H71" s="142"/>
      <c r="I71" s="142"/>
      <c r="J71" s="142"/>
      <c r="K71" s="142"/>
      <c r="L71" s="142"/>
      <c r="M71" s="142"/>
      <c r="N71" s="143"/>
      <c r="O71" s="81" t="s">
        <v>3234</v>
      </c>
      <c r="P71" s="134" t="s">
        <v>2840</v>
      </c>
      <c r="Q71" s="135"/>
      <c r="R71" s="135"/>
      <c r="S71" s="135"/>
      <c r="T71" s="135"/>
      <c r="U71" s="135"/>
      <c r="V71" s="135"/>
      <c r="W71" s="135"/>
      <c r="X71" s="135"/>
      <c r="Y71" s="135"/>
      <c r="Z71" s="135"/>
      <c r="AA71" s="135"/>
      <c r="AB71" s="135"/>
      <c r="AC71" s="135"/>
      <c r="AD71" s="136"/>
      <c r="AE71" s="137" t="str">
        <f t="shared" ca="1" si="13"/>
        <v>azn_202310_backup_text_mml_mmlrd_byomei</v>
      </c>
      <c r="AF71" s="138"/>
      <c r="AG71" s="138"/>
      <c r="AH71" s="138"/>
      <c r="AI71" s="138"/>
      <c r="AJ71" s="138"/>
      <c r="AK71" s="138"/>
      <c r="AL71" s="139"/>
      <c r="AM71" s="137" t="str">
        <f t="shared" ca="1" si="14"/>
        <v>MML_診断履歴情報モジュール_病名テーブルから組入れ条件の第一条件で絞り込んだ結果を格納するテーブル</v>
      </c>
      <c r="AN71" s="138"/>
      <c r="AO71" s="138"/>
      <c r="AP71" s="138"/>
      <c r="AQ71" s="138"/>
      <c r="AR71" s="138"/>
      <c r="AS71" s="138"/>
      <c r="AT71" s="138"/>
      <c r="AU71" s="138"/>
      <c r="AV71" s="138"/>
      <c r="AW71" s="138"/>
      <c r="AX71" s="138"/>
      <c r="AY71" s="138"/>
      <c r="AZ71" s="138"/>
      <c r="BA71" s="138"/>
      <c r="BB71" s="138"/>
      <c r="BC71" s="138"/>
      <c r="BD71" s="138"/>
      <c r="BE71" s="138"/>
      <c r="BF71" s="138"/>
      <c r="BG71" s="138"/>
      <c r="BH71" s="138"/>
      <c r="BI71" s="138"/>
      <c r="BJ71" s="140"/>
      <c r="BK71" s="32" t="str">
        <f t="shared" si="16"/>
        <v>ENT_01_A6-04_バックアップ_MML_診断履歴情報モジュール_病名.sql</v>
      </c>
      <c r="BL71" s="32">
        <v>1</v>
      </c>
    </row>
    <row r="72" spans="1:64" ht="37.5" hidden="1" customHeight="1" outlineLevel="1">
      <c r="A72" s="34" t="str">
        <f t="shared" ref="A72:A98" si="36">P72</f>
        <v>バックアップ_MML_診断履歴情報モジュール_カテゴリ名</v>
      </c>
      <c r="B72" s="144" t="str">
        <f t="shared" si="20"/>
        <v>01</v>
      </c>
      <c r="C72" s="145"/>
      <c r="D72" s="145"/>
      <c r="E72" s="145"/>
      <c r="F72" s="146"/>
      <c r="G72" s="141" t="s">
        <v>197</v>
      </c>
      <c r="H72" s="142"/>
      <c r="I72" s="142"/>
      <c r="J72" s="142"/>
      <c r="K72" s="142"/>
      <c r="L72" s="142"/>
      <c r="M72" s="142"/>
      <c r="N72" s="143"/>
      <c r="O72" s="81" t="s">
        <v>3235</v>
      </c>
      <c r="P72" s="134" t="s">
        <v>2851</v>
      </c>
      <c r="Q72" s="135"/>
      <c r="R72" s="135"/>
      <c r="S72" s="135"/>
      <c r="T72" s="135"/>
      <c r="U72" s="135"/>
      <c r="V72" s="135"/>
      <c r="W72" s="135"/>
      <c r="X72" s="135"/>
      <c r="Y72" s="135"/>
      <c r="Z72" s="135"/>
      <c r="AA72" s="135"/>
      <c r="AB72" s="135"/>
      <c r="AC72" s="135"/>
      <c r="AD72" s="136"/>
      <c r="AE72" s="137" t="str">
        <f t="shared" ref="AE72:AE98" ca="1" si="37">IFERROR(INDIRECT(P72&amp;"!D8"),"")</f>
        <v>azn_202310_backup_text_mml_mmlrd_category</v>
      </c>
      <c r="AF72" s="138"/>
      <c r="AG72" s="138"/>
      <c r="AH72" s="138"/>
      <c r="AI72" s="138"/>
      <c r="AJ72" s="138"/>
      <c r="AK72" s="138"/>
      <c r="AL72" s="139"/>
      <c r="AM72" s="137" t="str">
        <f t="shared" ref="AM72:AM98" ca="1" si="38">IFERROR(INDIRECT(P72&amp;"!D9"),"")</f>
        <v>MML_診断履歴情報モジュール_カテゴリ名テーブルから組入れ条件の第一条件で絞り込んだ結果を格納するテーブル</v>
      </c>
      <c r="AN72" s="138"/>
      <c r="AO72" s="138"/>
      <c r="AP72" s="138"/>
      <c r="AQ72" s="138"/>
      <c r="AR72" s="138"/>
      <c r="AS72" s="138"/>
      <c r="AT72" s="138"/>
      <c r="AU72" s="138"/>
      <c r="AV72" s="138"/>
      <c r="AW72" s="138"/>
      <c r="AX72" s="138"/>
      <c r="AY72" s="138"/>
      <c r="AZ72" s="138"/>
      <c r="BA72" s="138"/>
      <c r="BB72" s="138"/>
      <c r="BC72" s="138"/>
      <c r="BD72" s="138"/>
      <c r="BE72" s="138"/>
      <c r="BF72" s="138"/>
      <c r="BG72" s="138"/>
      <c r="BH72" s="138"/>
      <c r="BI72" s="138"/>
      <c r="BJ72" s="140"/>
      <c r="BK72" s="32" t="str">
        <f t="shared" si="16"/>
        <v>ENT_01_A6-05_バックアップ_MML_診断履歴情報モジュール_カテゴリ名.sql</v>
      </c>
    </row>
    <row r="73" spans="1:64" ht="37.5" hidden="1" customHeight="1" outlineLevel="1">
      <c r="A73" s="34" t="str">
        <f t="shared" si="36"/>
        <v>バックアップ_MML_処方箋モジュール_本文</v>
      </c>
      <c r="B73" s="144" t="str">
        <f t="shared" si="20"/>
        <v>01</v>
      </c>
      <c r="C73" s="145"/>
      <c r="D73" s="145"/>
      <c r="E73" s="145"/>
      <c r="F73" s="146"/>
      <c r="G73" s="141" t="s">
        <v>197</v>
      </c>
      <c r="H73" s="142"/>
      <c r="I73" s="142"/>
      <c r="J73" s="142"/>
      <c r="K73" s="142"/>
      <c r="L73" s="142"/>
      <c r="M73" s="142"/>
      <c r="N73" s="143"/>
      <c r="O73" s="81" t="s">
        <v>3236</v>
      </c>
      <c r="P73" s="134" t="s">
        <v>2856</v>
      </c>
      <c r="Q73" s="135"/>
      <c r="R73" s="135"/>
      <c r="S73" s="135"/>
      <c r="T73" s="135"/>
      <c r="U73" s="135"/>
      <c r="V73" s="135"/>
      <c r="W73" s="135"/>
      <c r="X73" s="135"/>
      <c r="Y73" s="135"/>
      <c r="Z73" s="135"/>
      <c r="AA73" s="135"/>
      <c r="AB73" s="135"/>
      <c r="AC73" s="135"/>
      <c r="AD73" s="136"/>
      <c r="AE73" s="137" t="str">
        <f t="shared" ca="1" si="37"/>
        <v>azn_202310_backup_text_mml_mmlps_body</v>
      </c>
      <c r="AF73" s="138"/>
      <c r="AG73" s="138"/>
      <c r="AH73" s="138"/>
      <c r="AI73" s="138"/>
      <c r="AJ73" s="138"/>
      <c r="AK73" s="138"/>
      <c r="AL73" s="139"/>
      <c r="AM73" s="137" t="str">
        <f t="shared" ca="1" si="38"/>
        <v>MML_処方箋モジュール_本文テーブルから組入れ条件の第一条件で絞り込んだ結果を格納するテーブル</v>
      </c>
      <c r="AN73" s="138"/>
      <c r="AO73" s="138"/>
      <c r="AP73" s="138"/>
      <c r="AQ73" s="138"/>
      <c r="AR73" s="138"/>
      <c r="AS73" s="138"/>
      <c r="AT73" s="138"/>
      <c r="AU73" s="138"/>
      <c r="AV73" s="138"/>
      <c r="AW73" s="138"/>
      <c r="AX73" s="138"/>
      <c r="AY73" s="138"/>
      <c r="AZ73" s="138"/>
      <c r="BA73" s="138"/>
      <c r="BB73" s="138"/>
      <c r="BC73" s="138"/>
      <c r="BD73" s="138"/>
      <c r="BE73" s="138"/>
      <c r="BF73" s="138"/>
      <c r="BG73" s="138"/>
      <c r="BH73" s="138"/>
      <c r="BI73" s="138"/>
      <c r="BJ73" s="140"/>
      <c r="BK73" s="32" t="str">
        <f t="shared" si="16"/>
        <v>ENT_01_A6-24_バックアップ_MML_処方箋モジュール_本文.sql</v>
      </c>
      <c r="BL73" s="32">
        <v>1</v>
      </c>
    </row>
    <row r="74" spans="1:64" ht="37.5" hidden="1" customHeight="1" outlineLevel="1">
      <c r="A74" s="34" t="str">
        <f t="shared" si="36"/>
        <v>バックアップ_MML_処方箋モジュール_投薬</v>
      </c>
      <c r="B74" s="144" t="str">
        <f t="shared" si="20"/>
        <v>01</v>
      </c>
      <c r="C74" s="145"/>
      <c r="D74" s="145"/>
      <c r="E74" s="145"/>
      <c r="F74" s="146"/>
      <c r="G74" s="141" t="s">
        <v>197</v>
      </c>
      <c r="H74" s="142"/>
      <c r="I74" s="142"/>
      <c r="J74" s="142"/>
      <c r="K74" s="142"/>
      <c r="L74" s="142"/>
      <c r="M74" s="142"/>
      <c r="N74" s="143"/>
      <c r="O74" s="81" t="s">
        <v>3237</v>
      </c>
      <c r="P74" s="134" t="s">
        <v>2864</v>
      </c>
      <c r="Q74" s="135"/>
      <c r="R74" s="135"/>
      <c r="S74" s="135"/>
      <c r="T74" s="135"/>
      <c r="U74" s="135"/>
      <c r="V74" s="135"/>
      <c r="W74" s="135"/>
      <c r="X74" s="135"/>
      <c r="Y74" s="135"/>
      <c r="Z74" s="135"/>
      <c r="AA74" s="135"/>
      <c r="AB74" s="135"/>
      <c r="AC74" s="135"/>
      <c r="AD74" s="136"/>
      <c r="AE74" s="137" t="str">
        <f t="shared" ca="1" si="37"/>
        <v>azn_202310_backup_text_mml_mmlps_medication</v>
      </c>
      <c r="AF74" s="138"/>
      <c r="AG74" s="138"/>
      <c r="AH74" s="138"/>
      <c r="AI74" s="138"/>
      <c r="AJ74" s="138"/>
      <c r="AK74" s="138"/>
      <c r="AL74" s="139"/>
      <c r="AM74" s="137" t="str">
        <f t="shared" ca="1" si="38"/>
        <v>MML_処方箋モジュール_投薬テーブルから組入れ条件の第一条件で絞り込んだ結果を格納するテーブル</v>
      </c>
      <c r="AN74" s="138"/>
      <c r="AO74" s="138"/>
      <c r="AP74" s="138"/>
      <c r="AQ74" s="138"/>
      <c r="AR74" s="138"/>
      <c r="AS74" s="138"/>
      <c r="AT74" s="138"/>
      <c r="AU74" s="138"/>
      <c r="AV74" s="138"/>
      <c r="AW74" s="138"/>
      <c r="AX74" s="138"/>
      <c r="AY74" s="138"/>
      <c r="AZ74" s="138"/>
      <c r="BA74" s="138"/>
      <c r="BB74" s="138"/>
      <c r="BC74" s="138"/>
      <c r="BD74" s="138"/>
      <c r="BE74" s="138"/>
      <c r="BF74" s="138"/>
      <c r="BG74" s="138"/>
      <c r="BH74" s="138"/>
      <c r="BI74" s="138"/>
      <c r="BJ74" s="140"/>
      <c r="BK74" s="32" t="str">
        <f t="shared" si="16"/>
        <v>ENT_01_A6-25_バックアップ_MML_処方箋モジュール_投薬.sql</v>
      </c>
      <c r="BL74" s="32">
        <v>1</v>
      </c>
    </row>
    <row r="75" spans="1:64" ht="37.5" hidden="1" customHeight="1" outlineLevel="1">
      <c r="A75" s="34" t="str">
        <f t="shared" si="36"/>
        <v>バックアップ_MML_処方箋モジュール_薬剤</v>
      </c>
      <c r="B75" s="144" t="str">
        <f t="shared" si="20"/>
        <v>01</v>
      </c>
      <c r="C75" s="145"/>
      <c r="D75" s="145"/>
      <c r="E75" s="145"/>
      <c r="F75" s="146"/>
      <c r="G75" s="141" t="s">
        <v>197</v>
      </c>
      <c r="H75" s="142"/>
      <c r="I75" s="142"/>
      <c r="J75" s="142"/>
      <c r="K75" s="142"/>
      <c r="L75" s="142"/>
      <c r="M75" s="142"/>
      <c r="N75" s="143"/>
      <c r="O75" s="81" t="s">
        <v>3238</v>
      </c>
      <c r="P75" s="134" t="s">
        <v>2900</v>
      </c>
      <c r="Q75" s="135"/>
      <c r="R75" s="135"/>
      <c r="S75" s="135"/>
      <c r="T75" s="135"/>
      <c r="U75" s="135"/>
      <c r="V75" s="135"/>
      <c r="W75" s="135"/>
      <c r="X75" s="135"/>
      <c r="Y75" s="135"/>
      <c r="Z75" s="135"/>
      <c r="AA75" s="135"/>
      <c r="AB75" s="135"/>
      <c r="AC75" s="135"/>
      <c r="AD75" s="136"/>
      <c r="AE75" s="137" t="str">
        <f t="shared" ca="1" si="37"/>
        <v>azn_202310_backup_text_mml_mmlps_medicine</v>
      </c>
      <c r="AF75" s="138"/>
      <c r="AG75" s="138"/>
      <c r="AH75" s="138"/>
      <c r="AI75" s="138"/>
      <c r="AJ75" s="138"/>
      <c r="AK75" s="138"/>
      <c r="AL75" s="139"/>
      <c r="AM75" s="137" t="str">
        <f t="shared" ca="1" si="38"/>
        <v>MML_処方箋モジュール_薬剤テーブルから組入れ条件の第一条件で絞り込んだ結果を格納するテーブル</v>
      </c>
      <c r="AN75" s="138"/>
      <c r="AO75" s="138"/>
      <c r="AP75" s="138"/>
      <c r="AQ75" s="138"/>
      <c r="AR75" s="138"/>
      <c r="AS75" s="138"/>
      <c r="AT75" s="138"/>
      <c r="AU75" s="138"/>
      <c r="AV75" s="138"/>
      <c r="AW75" s="138"/>
      <c r="AX75" s="138"/>
      <c r="AY75" s="138"/>
      <c r="AZ75" s="138"/>
      <c r="BA75" s="138"/>
      <c r="BB75" s="138"/>
      <c r="BC75" s="138"/>
      <c r="BD75" s="138"/>
      <c r="BE75" s="138"/>
      <c r="BF75" s="138"/>
      <c r="BG75" s="138"/>
      <c r="BH75" s="138"/>
      <c r="BI75" s="138"/>
      <c r="BJ75" s="140"/>
      <c r="BK75" s="32" t="str">
        <f t="shared" si="16"/>
        <v>ENT_01_A6-26_バックアップ_MML_処方箋モジュール_薬剤.sql</v>
      </c>
      <c r="BL75" s="32">
        <v>1</v>
      </c>
    </row>
    <row r="76" spans="1:64" ht="37.5" hidden="1" customHeight="1" outlineLevel="1">
      <c r="A76" s="34" t="str">
        <f t="shared" si="36"/>
        <v>バックアップ_MML_注射記録モジュール_本文</v>
      </c>
      <c r="B76" s="144" t="str">
        <f t="shared" si="20"/>
        <v>01</v>
      </c>
      <c r="C76" s="145"/>
      <c r="D76" s="145"/>
      <c r="E76" s="145"/>
      <c r="F76" s="146"/>
      <c r="G76" s="141" t="s">
        <v>197</v>
      </c>
      <c r="H76" s="142"/>
      <c r="I76" s="142"/>
      <c r="J76" s="142"/>
      <c r="K76" s="142"/>
      <c r="L76" s="142"/>
      <c r="M76" s="142"/>
      <c r="N76" s="143"/>
      <c r="O76" s="81" t="s">
        <v>3239</v>
      </c>
      <c r="P76" s="134" t="s">
        <v>2905</v>
      </c>
      <c r="Q76" s="135"/>
      <c r="R76" s="135"/>
      <c r="S76" s="135"/>
      <c r="T76" s="135"/>
      <c r="U76" s="135"/>
      <c r="V76" s="135"/>
      <c r="W76" s="135"/>
      <c r="X76" s="135"/>
      <c r="Y76" s="135"/>
      <c r="Z76" s="135"/>
      <c r="AA76" s="135"/>
      <c r="AB76" s="135"/>
      <c r="AC76" s="135"/>
      <c r="AD76" s="136"/>
      <c r="AE76" s="137" t="str">
        <f t="shared" ca="1" si="37"/>
        <v>azn_202310_backup_text_mml_mmlinj_body</v>
      </c>
      <c r="AF76" s="138"/>
      <c r="AG76" s="138"/>
      <c r="AH76" s="138"/>
      <c r="AI76" s="138"/>
      <c r="AJ76" s="138"/>
      <c r="AK76" s="138"/>
      <c r="AL76" s="139"/>
      <c r="AM76" s="137" t="str">
        <f t="shared" ca="1" si="38"/>
        <v>MML_注射記録モジュール_本文テーブルから組入れ条件の第一条件で絞り込んだ結果を格納するテーブル</v>
      </c>
      <c r="AN76" s="138"/>
      <c r="AO76" s="138"/>
      <c r="AP76" s="138"/>
      <c r="AQ76" s="138"/>
      <c r="AR76" s="138"/>
      <c r="AS76" s="138"/>
      <c r="AT76" s="138"/>
      <c r="AU76" s="138"/>
      <c r="AV76" s="138"/>
      <c r="AW76" s="138"/>
      <c r="AX76" s="138"/>
      <c r="AY76" s="138"/>
      <c r="AZ76" s="138"/>
      <c r="BA76" s="138"/>
      <c r="BB76" s="138"/>
      <c r="BC76" s="138"/>
      <c r="BD76" s="138"/>
      <c r="BE76" s="138"/>
      <c r="BF76" s="138"/>
      <c r="BG76" s="138"/>
      <c r="BH76" s="138"/>
      <c r="BI76" s="138"/>
      <c r="BJ76" s="140"/>
      <c r="BK76" s="32" t="str">
        <f t="shared" si="16"/>
        <v>ENT_01_A6-27_バックアップ_MML_注射記録モジュール_本文.sql</v>
      </c>
    </row>
    <row r="77" spans="1:64" ht="37.5" hidden="1" customHeight="1" outlineLevel="1">
      <c r="A77" s="34" t="str">
        <f t="shared" si="36"/>
        <v>バックアップ_MML_注射記録モジュール_投薬</v>
      </c>
      <c r="B77" s="144" t="str">
        <f t="shared" si="20"/>
        <v>01</v>
      </c>
      <c r="C77" s="145"/>
      <c r="D77" s="145"/>
      <c r="E77" s="145"/>
      <c r="F77" s="146"/>
      <c r="G77" s="141" t="s">
        <v>197</v>
      </c>
      <c r="H77" s="142"/>
      <c r="I77" s="142"/>
      <c r="J77" s="142"/>
      <c r="K77" s="142"/>
      <c r="L77" s="142"/>
      <c r="M77" s="142"/>
      <c r="N77" s="143"/>
      <c r="O77" s="81" t="s">
        <v>3240</v>
      </c>
      <c r="P77" s="134" t="s">
        <v>2914</v>
      </c>
      <c r="Q77" s="135"/>
      <c r="R77" s="135"/>
      <c r="S77" s="135"/>
      <c r="T77" s="135"/>
      <c r="U77" s="135"/>
      <c r="V77" s="135"/>
      <c r="W77" s="135"/>
      <c r="X77" s="135"/>
      <c r="Y77" s="135"/>
      <c r="Z77" s="135"/>
      <c r="AA77" s="135"/>
      <c r="AB77" s="135"/>
      <c r="AC77" s="135"/>
      <c r="AD77" s="136"/>
      <c r="AE77" s="137" t="str">
        <f t="shared" ca="1" si="37"/>
        <v>azn_202310_backup_text_mml_mmlinj_medication</v>
      </c>
      <c r="AF77" s="138"/>
      <c r="AG77" s="138"/>
      <c r="AH77" s="138"/>
      <c r="AI77" s="138"/>
      <c r="AJ77" s="138"/>
      <c r="AK77" s="138"/>
      <c r="AL77" s="139"/>
      <c r="AM77" s="137" t="str">
        <f t="shared" ca="1" si="38"/>
        <v>MML_注射記録モジュール_投薬テーブルから組入れ条件の第一条件で絞り込んだ結果を格納するテーブル</v>
      </c>
      <c r="AN77" s="138"/>
      <c r="AO77" s="138"/>
      <c r="AP77" s="138"/>
      <c r="AQ77" s="138"/>
      <c r="AR77" s="138"/>
      <c r="AS77" s="138"/>
      <c r="AT77" s="138"/>
      <c r="AU77" s="138"/>
      <c r="AV77" s="138"/>
      <c r="AW77" s="138"/>
      <c r="AX77" s="138"/>
      <c r="AY77" s="138"/>
      <c r="AZ77" s="138"/>
      <c r="BA77" s="138"/>
      <c r="BB77" s="138"/>
      <c r="BC77" s="138"/>
      <c r="BD77" s="138"/>
      <c r="BE77" s="138"/>
      <c r="BF77" s="138"/>
      <c r="BG77" s="138"/>
      <c r="BH77" s="138"/>
      <c r="BI77" s="138"/>
      <c r="BJ77" s="140"/>
      <c r="BK77" s="32" t="str">
        <f t="shared" si="16"/>
        <v>ENT_01_A6-28_バックアップ_MML_注射記録モジュール_投薬.sql</v>
      </c>
    </row>
    <row r="78" spans="1:64" ht="37.5" hidden="1" customHeight="1" outlineLevel="1">
      <c r="A78" s="34" t="str">
        <f t="shared" si="36"/>
        <v>バックアップ_MML_注射記録モジュール_薬剤</v>
      </c>
      <c r="B78" s="144" t="str">
        <f t="shared" si="20"/>
        <v>01</v>
      </c>
      <c r="C78" s="145"/>
      <c r="D78" s="145"/>
      <c r="E78" s="145"/>
      <c r="F78" s="146"/>
      <c r="G78" s="141" t="s">
        <v>197</v>
      </c>
      <c r="H78" s="142"/>
      <c r="I78" s="142"/>
      <c r="J78" s="142"/>
      <c r="K78" s="142"/>
      <c r="L78" s="142"/>
      <c r="M78" s="142"/>
      <c r="N78" s="143"/>
      <c r="O78" s="81" t="s">
        <v>3241</v>
      </c>
      <c r="P78" s="134" t="s">
        <v>2915</v>
      </c>
      <c r="Q78" s="135"/>
      <c r="R78" s="135"/>
      <c r="S78" s="135"/>
      <c r="T78" s="135"/>
      <c r="U78" s="135"/>
      <c r="V78" s="135"/>
      <c r="W78" s="135"/>
      <c r="X78" s="135"/>
      <c r="Y78" s="135"/>
      <c r="Z78" s="135"/>
      <c r="AA78" s="135"/>
      <c r="AB78" s="135"/>
      <c r="AC78" s="135"/>
      <c r="AD78" s="136"/>
      <c r="AE78" s="137" t="str">
        <f t="shared" ca="1" si="37"/>
        <v>azn_202310_backup_text_mml_mmlinj_medicine</v>
      </c>
      <c r="AF78" s="138"/>
      <c r="AG78" s="138"/>
      <c r="AH78" s="138"/>
      <c r="AI78" s="138"/>
      <c r="AJ78" s="138"/>
      <c r="AK78" s="138"/>
      <c r="AL78" s="139"/>
      <c r="AM78" s="137" t="str">
        <f t="shared" ca="1" si="38"/>
        <v>MML_注射記録モジュール_薬剤テーブルから組入れ条件の第一条件で絞り込んだ結果を格納するテーブル</v>
      </c>
      <c r="AN78" s="138"/>
      <c r="AO78" s="138"/>
      <c r="AP78" s="138"/>
      <c r="AQ78" s="138"/>
      <c r="AR78" s="138"/>
      <c r="AS78" s="138"/>
      <c r="AT78" s="138"/>
      <c r="AU78" s="138"/>
      <c r="AV78" s="138"/>
      <c r="AW78" s="138"/>
      <c r="AX78" s="138"/>
      <c r="AY78" s="138"/>
      <c r="AZ78" s="138"/>
      <c r="BA78" s="138"/>
      <c r="BB78" s="138"/>
      <c r="BC78" s="138"/>
      <c r="BD78" s="138"/>
      <c r="BE78" s="138"/>
      <c r="BF78" s="138"/>
      <c r="BG78" s="138"/>
      <c r="BH78" s="138"/>
      <c r="BI78" s="138"/>
      <c r="BJ78" s="140"/>
      <c r="BK78" s="32" t="str">
        <f t="shared" ref="BK78:BK187" si="39">IF(P78&lt;&gt;"",O78&amp;"_"&amp;P78&amp;".sql","")</f>
        <v>ENT_01_A6-29_バックアップ_MML_注射記録モジュール_薬剤.sql</v>
      </c>
    </row>
    <row r="79" spans="1:64" ht="37.5" hidden="1" customHeight="1" outlineLevel="1">
      <c r="A79" s="34" t="str">
        <f t="shared" ref="A79:A86" si="40">P79</f>
        <v>バックアップ_MML_手術モジュール_手術項目</v>
      </c>
      <c r="B79" s="144" t="str">
        <f t="shared" si="20"/>
        <v>01</v>
      </c>
      <c r="C79" s="145"/>
      <c r="D79" s="145"/>
      <c r="E79" s="145"/>
      <c r="F79" s="146"/>
      <c r="G79" s="141" t="s">
        <v>197</v>
      </c>
      <c r="H79" s="142"/>
      <c r="I79" s="142"/>
      <c r="J79" s="142"/>
      <c r="K79" s="142"/>
      <c r="L79" s="142"/>
      <c r="M79" s="142"/>
      <c r="N79" s="143"/>
      <c r="O79" s="81" t="s">
        <v>3242</v>
      </c>
      <c r="P79" s="134" t="s">
        <v>2916</v>
      </c>
      <c r="Q79" s="135"/>
      <c r="R79" s="135"/>
      <c r="S79" s="135"/>
      <c r="T79" s="135"/>
      <c r="U79" s="135"/>
      <c r="V79" s="135"/>
      <c r="W79" s="135"/>
      <c r="X79" s="135"/>
      <c r="Y79" s="135"/>
      <c r="Z79" s="135"/>
      <c r="AA79" s="135"/>
      <c r="AB79" s="135"/>
      <c r="AC79" s="135"/>
      <c r="AD79" s="136"/>
      <c r="AE79" s="137" t="str">
        <f t="shared" ref="AE79:AE86" ca="1" si="41">IFERROR(INDIRECT(P79&amp;"!D8"),"")</f>
        <v>azn_202310_backup_text_mml_mmlsg_surgery_item</v>
      </c>
      <c r="AF79" s="138"/>
      <c r="AG79" s="138"/>
      <c r="AH79" s="138"/>
      <c r="AI79" s="138"/>
      <c r="AJ79" s="138"/>
      <c r="AK79" s="138"/>
      <c r="AL79" s="139"/>
      <c r="AM79" s="137" t="str">
        <f t="shared" ref="AM79:AM86" ca="1" si="42">IFERROR(INDIRECT(P79&amp;"!D9"),"")</f>
        <v>MML_手術モジュール_手術項目テーブルから組入れ条件の第一条件で絞り込んだ結果を格納するテーブル</v>
      </c>
      <c r="AN79" s="138"/>
      <c r="AO79" s="138"/>
      <c r="AP79" s="138"/>
      <c r="AQ79" s="138"/>
      <c r="AR79" s="138"/>
      <c r="AS79" s="138"/>
      <c r="AT79" s="138"/>
      <c r="AU79" s="138"/>
      <c r="AV79" s="138"/>
      <c r="AW79" s="138"/>
      <c r="AX79" s="138"/>
      <c r="AY79" s="138"/>
      <c r="AZ79" s="138"/>
      <c r="BA79" s="138"/>
      <c r="BB79" s="138"/>
      <c r="BC79" s="138"/>
      <c r="BD79" s="138"/>
      <c r="BE79" s="138"/>
      <c r="BF79" s="138"/>
      <c r="BG79" s="138"/>
      <c r="BH79" s="138"/>
      <c r="BI79" s="138"/>
      <c r="BJ79" s="140"/>
      <c r="BK79" s="32" t="str">
        <f t="shared" si="39"/>
        <v>ENT_01_A6-42_バックアップ_MML_手術モジュール_手術項目.sql</v>
      </c>
    </row>
    <row r="80" spans="1:64" ht="37.5" hidden="1" customHeight="1" outlineLevel="1">
      <c r="A80" s="34" t="str">
        <f t="shared" si="40"/>
        <v>バックアップ_MML_手術モジュール_診療科情報</v>
      </c>
      <c r="B80" s="144" t="str">
        <f t="shared" si="20"/>
        <v>01</v>
      </c>
      <c r="C80" s="145"/>
      <c r="D80" s="145"/>
      <c r="E80" s="145"/>
      <c r="F80" s="146"/>
      <c r="G80" s="141" t="s">
        <v>197</v>
      </c>
      <c r="H80" s="142"/>
      <c r="I80" s="142"/>
      <c r="J80" s="142"/>
      <c r="K80" s="142"/>
      <c r="L80" s="142"/>
      <c r="M80" s="142"/>
      <c r="N80" s="143"/>
      <c r="O80" s="81" t="s">
        <v>3243</v>
      </c>
      <c r="P80" s="134" t="s">
        <v>2935</v>
      </c>
      <c r="Q80" s="135"/>
      <c r="R80" s="135"/>
      <c r="S80" s="135"/>
      <c r="T80" s="135"/>
      <c r="U80" s="135"/>
      <c r="V80" s="135"/>
      <c r="W80" s="135"/>
      <c r="X80" s="135"/>
      <c r="Y80" s="135"/>
      <c r="Z80" s="135"/>
      <c r="AA80" s="135"/>
      <c r="AB80" s="135"/>
      <c r="AC80" s="135"/>
      <c r="AD80" s="136"/>
      <c r="AE80" s="137" t="str">
        <f t="shared" ca="1" si="41"/>
        <v>azn_202310_backup_text_mml_mmlsg_dp</v>
      </c>
      <c r="AF80" s="138"/>
      <c r="AG80" s="138"/>
      <c r="AH80" s="138"/>
      <c r="AI80" s="138"/>
      <c r="AJ80" s="138"/>
      <c r="AK80" s="138"/>
      <c r="AL80" s="139"/>
      <c r="AM80" s="137" t="str">
        <f t="shared" ca="1" si="42"/>
        <v>MML_手術モジュール_診療科情報テーブルから組入れ条件の第一条件で絞り込んだ結果を格納するテーブル</v>
      </c>
      <c r="AN80" s="138"/>
      <c r="AO80" s="138"/>
      <c r="AP80" s="138"/>
      <c r="AQ80" s="138"/>
      <c r="AR80" s="138"/>
      <c r="AS80" s="138"/>
      <c r="AT80" s="138"/>
      <c r="AU80" s="138"/>
      <c r="AV80" s="138"/>
      <c r="AW80" s="138"/>
      <c r="AX80" s="138"/>
      <c r="AY80" s="138"/>
      <c r="AZ80" s="138"/>
      <c r="BA80" s="138"/>
      <c r="BB80" s="138"/>
      <c r="BC80" s="138"/>
      <c r="BD80" s="138"/>
      <c r="BE80" s="138"/>
      <c r="BF80" s="138"/>
      <c r="BG80" s="138"/>
      <c r="BH80" s="138"/>
      <c r="BI80" s="138"/>
      <c r="BJ80" s="140"/>
      <c r="BK80" s="32" t="str">
        <f t="shared" si="39"/>
        <v>ENT_01_A6-43_バックアップ_MML_手術モジュール_診療科情報.sql</v>
      </c>
    </row>
    <row r="81" spans="1:63" ht="37.5" hidden="1" customHeight="1" outlineLevel="1">
      <c r="A81" s="34" t="str">
        <f t="shared" si="40"/>
        <v>バックアップ_MML_手術モジュール_診断履歴情報</v>
      </c>
      <c r="B81" s="144" t="str">
        <f t="shared" si="20"/>
        <v>01</v>
      </c>
      <c r="C81" s="145"/>
      <c r="D81" s="145"/>
      <c r="E81" s="145"/>
      <c r="F81" s="146"/>
      <c r="G81" s="141" t="s">
        <v>197</v>
      </c>
      <c r="H81" s="142"/>
      <c r="I81" s="142"/>
      <c r="J81" s="142"/>
      <c r="K81" s="142"/>
      <c r="L81" s="142"/>
      <c r="M81" s="142"/>
      <c r="N81" s="143"/>
      <c r="O81" s="81" t="s">
        <v>3244</v>
      </c>
      <c r="P81" s="134" t="s">
        <v>2960</v>
      </c>
      <c r="Q81" s="135"/>
      <c r="R81" s="135"/>
      <c r="S81" s="135"/>
      <c r="T81" s="135"/>
      <c r="U81" s="135"/>
      <c r="V81" s="135"/>
      <c r="W81" s="135"/>
      <c r="X81" s="135"/>
      <c r="Y81" s="135"/>
      <c r="Z81" s="135"/>
      <c r="AA81" s="135"/>
      <c r="AB81" s="135"/>
      <c r="AC81" s="135"/>
      <c r="AD81" s="136"/>
      <c r="AE81" s="137" t="str">
        <f t="shared" ca="1" si="41"/>
        <v>azn_202310_backup_text_mml_mmlsg_rd</v>
      </c>
      <c r="AF81" s="138"/>
      <c r="AG81" s="138"/>
      <c r="AH81" s="138"/>
      <c r="AI81" s="138"/>
      <c r="AJ81" s="138"/>
      <c r="AK81" s="138"/>
      <c r="AL81" s="139"/>
      <c r="AM81" s="137" t="str">
        <f t="shared" ca="1" si="42"/>
        <v>MML_手術モジュール_診断履歴情報テーブルから組入れ条件の第一条件で絞り込んだ結果を格納するテーブル</v>
      </c>
      <c r="AN81" s="138"/>
      <c r="AO81" s="138"/>
      <c r="AP81" s="138"/>
      <c r="AQ81" s="138"/>
      <c r="AR81" s="138"/>
      <c r="AS81" s="138"/>
      <c r="AT81" s="138"/>
      <c r="AU81" s="138"/>
      <c r="AV81" s="138"/>
      <c r="AW81" s="138"/>
      <c r="AX81" s="138"/>
      <c r="AY81" s="138"/>
      <c r="AZ81" s="138"/>
      <c r="BA81" s="138"/>
      <c r="BB81" s="138"/>
      <c r="BC81" s="138"/>
      <c r="BD81" s="138"/>
      <c r="BE81" s="138"/>
      <c r="BF81" s="138"/>
      <c r="BG81" s="138"/>
      <c r="BH81" s="138"/>
      <c r="BI81" s="138"/>
      <c r="BJ81" s="140"/>
      <c r="BK81" s="32" t="str">
        <f t="shared" si="39"/>
        <v>ENT_01_A6-44_バックアップ_MML_手術モジュール_診断履歴情報.sql</v>
      </c>
    </row>
    <row r="82" spans="1:63" ht="37.5" hidden="1" customHeight="1" outlineLevel="1">
      <c r="A82" s="34" t="str">
        <f t="shared" si="40"/>
        <v>バックアップ_MML_手術モジュール_病名</v>
      </c>
      <c r="B82" s="144" t="str">
        <f t="shared" si="20"/>
        <v>01</v>
      </c>
      <c r="C82" s="145"/>
      <c r="D82" s="145"/>
      <c r="E82" s="145"/>
      <c r="F82" s="146"/>
      <c r="G82" s="141" t="s">
        <v>197</v>
      </c>
      <c r="H82" s="142"/>
      <c r="I82" s="142"/>
      <c r="J82" s="142"/>
      <c r="K82" s="142"/>
      <c r="L82" s="142"/>
      <c r="M82" s="142"/>
      <c r="N82" s="143"/>
      <c r="O82" s="81" t="s">
        <v>3245</v>
      </c>
      <c r="P82" s="134" t="s">
        <v>2963</v>
      </c>
      <c r="Q82" s="135"/>
      <c r="R82" s="135"/>
      <c r="S82" s="135"/>
      <c r="T82" s="135"/>
      <c r="U82" s="135"/>
      <c r="V82" s="135"/>
      <c r="W82" s="135"/>
      <c r="X82" s="135"/>
      <c r="Y82" s="135"/>
      <c r="Z82" s="135"/>
      <c r="AA82" s="135"/>
      <c r="AB82" s="135"/>
      <c r="AC82" s="135"/>
      <c r="AD82" s="136"/>
      <c r="AE82" s="137" t="str">
        <f t="shared" ca="1" si="41"/>
        <v>azn_202310_backup_text_mml_mmlsg_rd_byomei</v>
      </c>
      <c r="AF82" s="138"/>
      <c r="AG82" s="138"/>
      <c r="AH82" s="138"/>
      <c r="AI82" s="138"/>
      <c r="AJ82" s="138"/>
      <c r="AK82" s="138"/>
      <c r="AL82" s="139"/>
      <c r="AM82" s="137" t="str">
        <f t="shared" ca="1" si="42"/>
        <v>MML_手術モジュール_病名テーブルから組入れ条件の第一条件で絞り込んだ結果を格納するテーブル</v>
      </c>
      <c r="AN82" s="138"/>
      <c r="AO82" s="138"/>
      <c r="AP82" s="138"/>
      <c r="AQ82" s="138"/>
      <c r="AR82" s="138"/>
      <c r="AS82" s="138"/>
      <c r="AT82" s="138"/>
      <c r="AU82" s="138"/>
      <c r="AV82" s="138"/>
      <c r="AW82" s="138"/>
      <c r="AX82" s="138"/>
      <c r="AY82" s="138"/>
      <c r="AZ82" s="138"/>
      <c r="BA82" s="138"/>
      <c r="BB82" s="138"/>
      <c r="BC82" s="138"/>
      <c r="BD82" s="138"/>
      <c r="BE82" s="138"/>
      <c r="BF82" s="138"/>
      <c r="BG82" s="138"/>
      <c r="BH82" s="138"/>
      <c r="BI82" s="138"/>
      <c r="BJ82" s="140"/>
      <c r="BK82" s="32" t="str">
        <f t="shared" si="39"/>
        <v>ENT_01_A6-45_バックアップ_MML_手術モジュール_病名.sql</v>
      </c>
    </row>
    <row r="83" spans="1:63" ht="37.5" hidden="1" customHeight="1" outlineLevel="1">
      <c r="A83" s="34" t="str">
        <f t="shared" si="40"/>
        <v>バックアップ_MML_手術モジュール_カテゴリ名</v>
      </c>
      <c r="B83" s="144" t="str">
        <f t="shared" si="20"/>
        <v>01</v>
      </c>
      <c r="C83" s="145"/>
      <c r="D83" s="145"/>
      <c r="E83" s="145"/>
      <c r="F83" s="146"/>
      <c r="G83" s="141" t="s">
        <v>197</v>
      </c>
      <c r="H83" s="142"/>
      <c r="I83" s="142"/>
      <c r="J83" s="142"/>
      <c r="K83" s="142"/>
      <c r="L83" s="142"/>
      <c r="M83" s="142"/>
      <c r="N83" s="143"/>
      <c r="O83" s="81" t="s">
        <v>3246</v>
      </c>
      <c r="P83" s="134" t="s">
        <v>2964</v>
      </c>
      <c r="Q83" s="135"/>
      <c r="R83" s="135"/>
      <c r="S83" s="135"/>
      <c r="T83" s="135"/>
      <c r="U83" s="135"/>
      <c r="V83" s="135"/>
      <c r="W83" s="135"/>
      <c r="X83" s="135"/>
      <c r="Y83" s="135"/>
      <c r="Z83" s="135"/>
      <c r="AA83" s="135"/>
      <c r="AB83" s="135"/>
      <c r="AC83" s="135"/>
      <c r="AD83" s="136"/>
      <c r="AE83" s="137" t="str">
        <f t="shared" ca="1" si="41"/>
        <v>azn_202310_backup_text_mml_mmlsg_rd_category</v>
      </c>
      <c r="AF83" s="138"/>
      <c r="AG83" s="138"/>
      <c r="AH83" s="138"/>
      <c r="AI83" s="138"/>
      <c r="AJ83" s="138"/>
      <c r="AK83" s="138"/>
      <c r="AL83" s="139"/>
      <c r="AM83" s="137" t="str">
        <f t="shared" ca="1" si="42"/>
        <v>MML_手術モジュール_カテゴリ名テーブルから組入れ条件の第一条件で絞り込んだ結果を格納するテーブル</v>
      </c>
      <c r="AN83" s="138"/>
      <c r="AO83" s="138"/>
      <c r="AP83" s="138"/>
      <c r="AQ83" s="138"/>
      <c r="AR83" s="138"/>
      <c r="AS83" s="138"/>
      <c r="AT83" s="138"/>
      <c r="AU83" s="138"/>
      <c r="AV83" s="138"/>
      <c r="AW83" s="138"/>
      <c r="AX83" s="138"/>
      <c r="AY83" s="138"/>
      <c r="AZ83" s="138"/>
      <c r="BA83" s="138"/>
      <c r="BB83" s="138"/>
      <c r="BC83" s="138"/>
      <c r="BD83" s="138"/>
      <c r="BE83" s="138"/>
      <c r="BF83" s="138"/>
      <c r="BG83" s="138"/>
      <c r="BH83" s="138"/>
      <c r="BI83" s="138"/>
      <c r="BJ83" s="140"/>
      <c r="BK83" s="32" t="str">
        <f t="shared" si="39"/>
        <v>ENT_01_A6-46_バックアップ_MML_手術モジュール_カテゴリ名.sql</v>
      </c>
    </row>
    <row r="84" spans="1:63" ht="37.5" hidden="1" customHeight="1" outlineLevel="1">
      <c r="A84" s="34" t="str">
        <f t="shared" si="40"/>
        <v>バックアップ_MML_手術モジュール_手術法</v>
      </c>
      <c r="B84" s="144" t="str">
        <f t="shared" si="20"/>
        <v>01</v>
      </c>
      <c r="C84" s="145"/>
      <c r="D84" s="145"/>
      <c r="E84" s="145"/>
      <c r="F84" s="146"/>
      <c r="G84" s="141" t="s">
        <v>197</v>
      </c>
      <c r="H84" s="142"/>
      <c r="I84" s="142"/>
      <c r="J84" s="142"/>
      <c r="K84" s="142"/>
      <c r="L84" s="142"/>
      <c r="M84" s="142"/>
      <c r="N84" s="143"/>
      <c r="O84" s="81" t="s">
        <v>3247</v>
      </c>
      <c r="P84" s="134" t="s">
        <v>2965</v>
      </c>
      <c r="Q84" s="135"/>
      <c r="R84" s="135"/>
      <c r="S84" s="135"/>
      <c r="T84" s="135"/>
      <c r="U84" s="135"/>
      <c r="V84" s="135"/>
      <c r="W84" s="135"/>
      <c r="X84" s="135"/>
      <c r="Y84" s="135"/>
      <c r="Z84" s="135"/>
      <c r="AA84" s="135"/>
      <c r="AB84" s="135"/>
      <c r="AC84" s="135"/>
      <c r="AD84" s="136"/>
      <c r="AE84" s="137" t="str">
        <f t="shared" ca="1" si="41"/>
        <v>azn_202310_backup_text_mml_mmlsg_procedure_item</v>
      </c>
      <c r="AF84" s="138"/>
      <c r="AG84" s="138"/>
      <c r="AH84" s="138"/>
      <c r="AI84" s="138"/>
      <c r="AJ84" s="138"/>
      <c r="AK84" s="138"/>
      <c r="AL84" s="139"/>
      <c r="AM84" s="137" t="str">
        <f t="shared" ca="1" si="42"/>
        <v>MML_手術モジュール_手術法テーブルから組入れ条件の第一条件で絞り込んだ結果を格納するテーブル</v>
      </c>
      <c r="AN84" s="138"/>
      <c r="AO84" s="138"/>
      <c r="AP84" s="138"/>
      <c r="AQ84" s="138"/>
      <c r="AR84" s="138"/>
      <c r="AS84" s="138"/>
      <c r="AT84" s="138"/>
      <c r="AU84" s="138"/>
      <c r="AV84" s="138"/>
      <c r="AW84" s="138"/>
      <c r="AX84" s="138"/>
      <c r="AY84" s="138"/>
      <c r="AZ84" s="138"/>
      <c r="BA84" s="138"/>
      <c r="BB84" s="138"/>
      <c r="BC84" s="138"/>
      <c r="BD84" s="138"/>
      <c r="BE84" s="138"/>
      <c r="BF84" s="138"/>
      <c r="BG84" s="138"/>
      <c r="BH84" s="138"/>
      <c r="BI84" s="138"/>
      <c r="BJ84" s="140"/>
      <c r="BK84" s="32" t="str">
        <f t="shared" si="39"/>
        <v>ENT_01_A6-47_バックアップ_MML_手術モジュール_手術法.sql</v>
      </c>
    </row>
    <row r="85" spans="1:63" ht="37.5" hidden="1" customHeight="1" outlineLevel="1">
      <c r="A85" s="34" t="str">
        <f t="shared" si="40"/>
        <v>バックアップ_MML_手術モジュール_手術要素</v>
      </c>
      <c r="B85" s="144" t="str">
        <f t="shared" si="20"/>
        <v>01</v>
      </c>
      <c r="C85" s="145"/>
      <c r="D85" s="145"/>
      <c r="E85" s="145"/>
      <c r="F85" s="146"/>
      <c r="G85" s="141" t="s">
        <v>197</v>
      </c>
      <c r="H85" s="142"/>
      <c r="I85" s="142"/>
      <c r="J85" s="142"/>
      <c r="K85" s="142"/>
      <c r="L85" s="142"/>
      <c r="M85" s="142"/>
      <c r="N85" s="143"/>
      <c r="O85" s="81" t="s">
        <v>3248</v>
      </c>
      <c r="P85" s="134" t="s">
        <v>2974</v>
      </c>
      <c r="Q85" s="135"/>
      <c r="R85" s="135"/>
      <c r="S85" s="135"/>
      <c r="T85" s="135"/>
      <c r="U85" s="135"/>
      <c r="V85" s="135"/>
      <c r="W85" s="135"/>
      <c r="X85" s="135"/>
      <c r="Y85" s="135"/>
      <c r="Z85" s="135"/>
      <c r="AA85" s="135"/>
      <c r="AB85" s="135"/>
      <c r="AC85" s="135"/>
      <c r="AD85" s="136"/>
      <c r="AE85" s="137" t="str">
        <f t="shared" ca="1" si="41"/>
        <v>azn_202310_backup_text_mml_mmlsg_operation_element</v>
      </c>
      <c r="AF85" s="138"/>
      <c r="AG85" s="138"/>
      <c r="AH85" s="138"/>
      <c r="AI85" s="138"/>
      <c r="AJ85" s="138"/>
      <c r="AK85" s="138"/>
      <c r="AL85" s="139"/>
      <c r="AM85" s="137" t="str">
        <f t="shared" ca="1" si="42"/>
        <v>MML_手術モジュール_手術要素テーブルから組入れ条件の第一条件で絞り込んだ結果を格納するテーブル</v>
      </c>
      <c r="AN85" s="138"/>
      <c r="AO85" s="138"/>
      <c r="AP85" s="138"/>
      <c r="AQ85" s="138"/>
      <c r="AR85" s="138"/>
      <c r="AS85" s="138"/>
      <c r="AT85" s="138"/>
      <c r="AU85" s="138"/>
      <c r="AV85" s="138"/>
      <c r="AW85" s="138"/>
      <c r="AX85" s="138"/>
      <c r="AY85" s="138"/>
      <c r="AZ85" s="138"/>
      <c r="BA85" s="138"/>
      <c r="BB85" s="138"/>
      <c r="BC85" s="138"/>
      <c r="BD85" s="138"/>
      <c r="BE85" s="138"/>
      <c r="BF85" s="138"/>
      <c r="BG85" s="138"/>
      <c r="BH85" s="138"/>
      <c r="BI85" s="138"/>
      <c r="BJ85" s="140"/>
      <c r="BK85" s="32" t="str">
        <f t="shared" si="39"/>
        <v>ENT_01_A6-48_バックアップ_MML_手術モジュール_手術要素.sql</v>
      </c>
    </row>
    <row r="86" spans="1:63" ht="37.5" hidden="1" customHeight="1" outlineLevel="1">
      <c r="A86" s="34" t="str">
        <f t="shared" si="40"/>
        <v>バックアップ_MML_手術モジュール_麻酔法</v>
      </c>
      <c r="B86" s="144" t="str">
        <f t="shared" si="20"/>
        <v>01</v>
      </c>
      <c r="C86" s="145"/>
      <c r="D86" s="145"/>
      <c r="E86" s="145"/>
      <c r="F86" s="146"/>
      <c r="G86" s="141" t="s">
        <v>197</v>
      </c>
      <c r="H86" s="142"/>
      <c r="I86" s="142"/>
      <c r="J86" s="142"/>
      <c r="K86" s="142"/>
      <c r="L86" s="142"/>
      <c r="M86" s="142"/>
      <c r="N86" s="143"/>
      <c r="O86" s="81" t="s">
        <v>3249</v>
      </c>
      <c r="P86" s="134" t="s">
        <v>2978</v>
      </c>
      <c r="Q86" s="135"/>
      <c r="R86" s="135"/>
      <c r="S86" s="135"/>
      <c r="T86" s="135"/>
      <c r="U86" s="135"/>
      <c r="V86" s="135"/>
      <c r="W86" s="135"/>
      <c r="X86" s="135"/>
      <c r="Y86" s="135"/>
      <c r="Z86" s="135"/>
      <c r="AA86" s="135"/>
      <c r="AB86" s="135"/>
      <c r="AC86" s="135"/>
      <c r="AD86" s="136"/>
      <c r="AE86" s="137" t="str">
        <f t="shared" ca="1" si="41"/>
        <v>azn_202310_backup_text_mml_mmlsg_anesthesia_procedure</v>
      </c>
      <c r="AF86" s="138"/>
      <c r="AG86" s="138"/>
      <c r="AH86" s="138"/>
      <c r="AI86" s="138"/>
      <c r="AJ86" s="138"/>
      <c r="AK86" s="138"/>
      <c r="AL86" s="139"/>
      <c r="AM86" s="137" t="str">
        <f t="shared" ca="1" si="42"/>
        <v>MML_手術モジュール_麻酔法テーブルから組入れ条件の第一条件で絞り込んだ結果を格納するテーブル</v>
      </c>
      <c r="AN86" s="138"/>
      <c r="AO86" s="138"/>
      <c r="AP86" s="138"/>
      <c r="AQ86" s="138"/>
      <c r="AR86" s="138"/>
      <c r="AS86" s="138"/>
      <c r="AT86" s="138"/>
      <c r="AU86" s="138"/>
      <c r="AV86" s="138"/>
      <c r="AW86" s="138"/>
      <c r="AX86" s="138"/>
      <c r="AY86" s="138"/>
      <c r="AZ86" s="138"/>
      <c r="BA86" s="138"/>
      <c r="BB86" s="138"/>
      <c r="BC86" s="138"/>
      <c r="BD86" s="138"/>
      <c r="BE86" s="138"/>
      <c r="BF86" s="138"/>
      <c r="BG86" s="138"/>
      <c r="BH86" s="138"/>
      <c r="BI86" s="138"/>
      <c r="BJ86" s="140"/>
      <c r="BK86" s="32" t="str">
        <f t="shared" si="39"/>
        <v>ENT_01_A6-49_バックアップ_MML_手術モジュール_麻酔法.sql</v>
      </c>
    </row>
    <row r="87" spans="1:63" ht="37.5" hidden="1" customHeight="1" outlineLevel="1">
      <c r="A87" s="34" t="str">
        <f t="shared" si="36"/>
        <v>バックアップ_MML_報告書情報モジュール_本文</v>
      </c>
      <c r="B87" s="144" t="str">
        <f t="shared" si="20"/>
        <v>01</v>
      </c>
      <c r="C87" s="145"/>
      <c r="D87" s="145"/>
      <c r="E87" s="145"/>
      <c r="F87" s="146"/>
      <c r="G87" s="141" t="s">
        <v>197</v>
      </c>
      <c r="H87" s="142"/>
      <c r="I87" s="142"/>
      <c r="J87" s="142"/>
      <c r="K87" s="142"/>
      <c r="L87" s="142"/>
      <c r="M87" s="142"/>
      <c r="N87" s="143"/>
      <c r="O87" s="81" t="s">
        <v>3250</v>
      </c>
      <c r="P87" s="134" t="s">
        <v>2985</v>
      </c>
      <c r="Q87" s="135"/>
      <c r="R87" s="135"/>
      <c r="S87" s="135"/>
      <c r="T87" s="135"/>
      <c r="U87" s="135"/>
      <c r="V87" s="135"/>
      <c r="W87" s="135"/>
      <c r="X87" s="135"/>
      <c r="Y87" s="135"/>
      <c r="Z87" s="135"/>
      <c r="AA87" s="135"/>
      <c r="AB87" s="135"/>
      <c r="AC87" s="135"/>
      <c r="AD87" s="136"/>
      <c r="AE87" s="137" t="str">
        <f t="shared" ca="1" si="37"/>
        <v>azn_202310_backup_text_mml_mmlrp_body</v>
      </c>
      <c r="AF87" s="138"/>
      <c r="AG87" s="138"/>
      <c r="AH87" s="138"/>
      <c r="AI87" s="138"/>
      <c r="AJ87" s="138"/>
      <c r="AK87" s="138"/>
      <c r="AL87" s="139"/>
      <c r="AM87" s="137" t="str">
        <f t="shared" ca="1" si="38"/>
        <v>MML_報告書情報モジュール_本文テーブルから組入れ条件の第一条件で絞り込んだ結果を格納するテーブル</v>
      </c>
      <c r="AN87" s="138"/>
      <c r="AO87" s="138"/>
      <c r="AP87" s="138"/>
      <c r="AQ87" s="138"/>
      <c r="AR87" s="138"/>
      <c r="AS87" s="138"/>
      <c r="AT87" s="138"/>
      <c r="AU87" s="138"/>
      <c r="AV87" s="138"/>
      <c r="AW87" s="138"/>
      <c r="AX87" s="138"/>
      <c r="AY87" s="138"/>
      <c r="AZ87" s="138"/>
      <c r="BA87" s="138"/>
      <c r="BB87" s="138"/>
      <c r="BC87" s="138"/>
      <c r="BD87" s="138"/>
      <c r="BE87" s="138"/>
      <c r="BF87" s="138"/>
      <c r="BG87" s="138"/>
      <c r="BH87" s="138"/>
      <c r="BI87" s="138"/>
      <c r="BJ87" s="140"/>
      <c r="BK87" s="32" t="str">
        <f t="shared" si="39"/>
        <v>ENT_01_A6-50_バックアップ_MML_報告書情報モジュール_本文.sql</v>
      </c>
    </row>
    <row r="88" spans="1:63" ht="37.5" hidden="1" customHeight="1" outlineLevel="1">
      <c r="A88" s="34" t="str">
        <f t="shared" si="36"/>
        <v>バックアップ_MML_報告書情報モジュール_検査コメント</v>
      </c>
      <c r="B88" s="144" t="str">
        <f t="shared" si="20"/>
        <v>01</v>
      </c>
      <c r="C88" s="145"/>
      <c r="D88" s="145"/>
      <c r="E88" s="145"/>
      <c r="F88" s="146"/>
      <c r="G88" s="141" t="s">
        <v>197</v>
      </c>
      <c r="H88" s="142"/>
      <c r="I88" s="142"/>
      <c r="J88" s="142"/>
      <c r="K88" s="142"/>
      <c r="L88" s="142"/>
      <c r="M88" s="142"/>
      <c r="N88" s="143"/>
      <c r="O88" s="81" t="s">
        <v>3251</v>
      </c>
      <c r="P88" s="134" t="s">
        <v>3043</v>
      </c>
      <c r="Q88" s="135"/>
      <c r="R88" s="135"/>
      <c r="S88" s="135"/>
      <c r="T88" s="135"/>
      <c r="U88" s="135"/>
      <c r="V88" s="135"/>
      <c r="W88" s="135"/>
      <c r="X88" s="135"/>
      <c r="Y88" s="135"/>
      <c r="Z88" s="135"/>
      <c r="AA88" s="135"/>
      <c r="AB88" s="135"/>
      <c r="AC88" s="135"/>
      <c r="AD88" s="136"/>
      <c r="AE88" s="137" t="str">
        <f t="shared" ca="1" si="37"/>
        <v>azn_202310_backup_text_mml_mmlrp_test_memo</v>
      </c>
      <c r="AF88" s="138"/>
      <c r="AG88" s="138"/>
      <c r="AH88" s="138"/>
      <c r="AI88" s="138"/>
      <c r="AJ88" s="138"/>
      <c r="AK88" s="138"/>
      <c r="AL88" s="139"/>
      <c r="AM88" s="137" t="str">
        <f t="shared" ca="1" si="38"/>
        <v>MML_報告書情報モジュール_検査コメントテーブルから組入れ条件の第一条件で絞り込んだ結果を格納するテーブル</v>
      </c>
      <c r="AN88" s="138"/>
      <c r="AO88" s="138"/>
      <c r="AP88" s="138"/>
      <c r="AQ88" s="138"/>
      <c r="AR88" s="138"/>
      <c r="AS88" s="138"/>
      <c r="AT88" s="138"/>
      <c r="AU88" s="138"/>
      <c r="AV88" s="138"/>
      <c r="AW88" s="138"/>
      <c r="AX88" s="138"/>
      <c r="AY88" s="138"/>
      <c r="AZ88" s="138"/>
      <c r="BA88" s="138"/>
      <c r="BB88" s="138"/>
      <c r="BC88" s="138"/>
      <c r="BD88" s="138"/>
      <c r="BE88" s="138"/>
      <c r="BF88" s="138"/>
      <c r="BG88" s="138"/>
      <c r="BH88" s="138"/>
      <c r="BI88" s="138"/>
      <c r="BJ88" s="140"/>
      <c r="BK88" s="32" t="str">
        <f t="shared" si="39"/>
        <v>ENT_01_A6-51_バックアップ_MML_報告書情報モジュール_検査コメント.sql</v>
      </c>
    </row>
    <row r="89" spans="1:63" ht="37.5" hidden="1" customHeight="1" outlineLevel="1">
      <c r="A89" s="34" t="str">
        <f t="shared" ref="A89:A97" si="43">P89</f>
        <v>バックアップ_MML_生活習慣情報モジュール_本文</v>
      </c>
      <c r="B89" s="144" t="str">
        <f t="shared" si="20"/>
        <v>01</v>
      </c>
      <c r="C89" s="145"/>
      <c r="D89" s="145"/>
      <c r="E89" s="145"/>
      <c r="F89" s="146"/>
      <c r="G89" s="141" t="s">
        <v>197</v>
      </c>
      <c r="H89" s="142"/>
      <c r="I89" s="142"/>
      <c r="J89" s="142"/>
      <c r="K89" s="142"/>
      <c r="L89" s="142"/>
      <c r="M89" s="142"/>
      <c r="N89" s="143"/>
      <c r="O89" s="81" t="s">
        <v>3252</v>
      </c>
      <c r="P89" s="134" t="s">
        <v>3264</v>
      </c>
      <c r="Q89" s="135"/>
      <c r="R89" s="135"/>
      <c r="S89" s="135"/>
      <c r="T89" s="135"/>
      <c r="U89" s="135"/>
      <c r="V89" s="135"/>
      <c r="W89" s="135"/>
      <c r="X89" s="135"/>
      <c r="Y89" s="135"/>
      <c r="Z89" s="135"/>
      <c r="AA89" s="135"/>
      <c r="AB89" s="135"/>
      <c r="AC89" s="135"/>
      <c r="AD89" s="136"/>
      <c r="AE89" s="137" t="str">
        <f t="shared" ref="AE89:AE97" ca="1" si="44">IFERROR(INDIRECT(P89&amp;"!D8"),"")</f>
        <v>azn_202310_backup_text_mml_mmlls_body</v>
      </c>
      <c r="AF89" s="138"/>
      <c r="AG89" s="138"/>
      <c r="AH89" s="138"/>
      <c r="AI89" s="138"/>
      <c r="AJ89" s="138"/>
      <c r="AK89" s="138"/>
      <c r="AL89" s="139"/>
      <c r="AM89" s="137" t="str">
        <f t="shared" ref="AM89:AM97" ca="1" si="45">IFERROR(INDIRECT(P89&amp;"!D9"),"")</f>
        <v>MML_生活習慣情報モジュール_本文テーブルから組入れ条件の第一条件で絞り込んだ結果を格納するテーブル</v>
      </c>
      <c r="AN89" s="138"/>
      <c r="AO89" s="138"/>
      <c r="AP89" s="138"/>
      <c r="AQ89" s="138"/>
      <c r="AR89" s="138"/>
      <c r="AS89" s="138"/>
      <c r="AT89" s="138"/>
      <c r="AU89" s="138"/>
      <c r="AV89" s="138"/>
      <c r="AW89" s="138"/>
      <c r="AX89" s="138"/>
      <c r="AY89" s="138"/>
      <c r="AZ89" s="138"/>
      <c r="BA89" s="138"/>
      <c r="BB89" s="138"/>
      <c r="BC89" s="138"/>
      <c r="BD89" s="138"/>
      <c r="BE89" s="138"/>
      <c r="BF89" s="138"/>
      <c r="BG89" s="138"/>
      <c r="BH89" s="138"/>
      <c r="BI89" s="138"/>
      <c r="BJ89" s="140"/>
      <c r="BK89" s="32" t="str">
        <f t="shared" si="39"/>
        <v>ENT_01_A6-52_バックアップ_MML_生活習慣情報モジュール_本文.sql</v>
      </c>
    </row>
    <row r="90" spans="1:63" ht="37.5" hidden="1" customHeight="1" outlineLevel="1">
      <c r="A90" s="34" t="str">
        <f t="shared" ref="A90" si="46">P90</f>
        <v>バックアップ_MML_紹介状モジュール_本文</v>
      </c>
      <c r="B90" s="144" t="str">
        <f t="shared" si="20"/>
        <v>01</v>
      </c>
      <c r="C90" s="145"/>
      <c r="D90" s="145"/>
      <c r="E90" s="145"/>
      <c r="F90" s="146"/>
      <c r="G90" s="141" t="s">
        <v>197</v>
      </c>
      <c r="H90" s="142"/>
      <c r="I90" s="142"/>
      <c r="J90" s="142"/>
      <c r="K90" s="142"/>
      <c r="L90" s="142"/>
      <c r="M90" s="142"/>
      <c r="N90" s="143"/>
      <c r="O90" s="81" t="s">
        <v>3253</v>
      </c>
      <c r="P90" s="134" t="s">
        <v>3054</v>
      </c>
      <c r="Q90" s="135"/>
      <c r="R90" s="135"/>
      <c r="S90" s="135"/>
      <c r="T90" s="135"/>
      <c r="U90" s="135"/>
      <c r="V90" s="135"/>
      <c r="W90" s="135"/>
      <c r="X90" s="135"/>
      <c r="Y90" s="135"/>
      <c r="Z90" s="135"/>
      <c r="AA90" s="135"/>
      <c r="AB90" s="135"/>
      <c r="AC90" s="135"/>
      <c r="AD90" s="136"/>
      <c r="AE90" s="137" t="str">
        <f t="shared" ref="AE90" ca="1" si="47">IFERROR(INDIRECT(P90&amp;"!D8"),"")</f>
        <v>azn_202310_backup_text_mml_mmlre_body</v>
      </c>
      <c r="AF90" s="138"/>
      <c r="AG90" s="138"/>
      <c r="AH90" s="138"/>
      <c r="AI90" s="138"/>
      <c r="AJ90" s="138"/>
      <c r="AK90" s="138"/>
      <c r="AL90" s="139"/>
      <c r="AM90" s="137" t="str">
        <f t="shared" ref="AM90" ca="1" si="48">IFERROR(INDIRECT(P90&amp;"!D9"),"")</f>
        <v>MML_紹介状モジュール_本文テーブルから組入れ条件の第一条件で絞り込んだ結果を格納するテーブル</v>
      </c>
      <c r="AN90" s="138"/>
      <c r="AO90" s="138"/>
      <c r="AP90" s="138"/>
      <c r="AQ90" s="138"/>
      <c r="AR90" s="138"/>
      <c r="AS90" s="138"/>
      <c r="AT90" s="138"/>
      <c r="AU90" s="138"/>
      <c r="AV90" s="138"/>
      <c r="AW90" s="138"/>
      <c r="AX90" s="138"/>
      <c r="AY90" s="138"/>
      <c r="AZ90" s="138"/>
      <c r="BA90" s="138"/>
      <c r="BB90" s="138"/>
      <c r="BC90" s="138"/>
      <c r="BD90" s="138"/>
      <c r="BE90" s="138"/>
      <c r="BF90" s="138"/>
      <c r="BG90" s="138"/>
      <c r="BH90" s="138"/>
      <c r="BI90" s="138"/>
      <c r="BJ90" s="140"/>
      <c r="BK90" s="32" t="str">
        <f t="shared" si="39"/>
        <v>ENT_01_A6-53_バックアップ_MML_紹介状モジュール_本文.sql</v>
      </c>
    </row>
    <row r="91" spans="1:63" ht="37.5" hidden="1" customHeight="1" outlineLevel="1">
      <c r="A91" s="34" t="str">
        <f t="shared" ref="A91" si="49">P91</f>
        <v>バックアップ_MML_紹介状モジュール_注射記録</v>
      </c>
      <c r="B91" s="144" t="str">
        <f t="shared" si="20"/>
        <v>01</v>
      </c>
      <c r="C91" s="145"/>
      <c r="D91" s="145"/>
      <c r="E91" s="145"/>
      <c r="F91" s="146"/>
      <c r="G91" s="141" t="s">
        <v>197</v>
      </c>
      <c r="H91" s="142"/>
      <c r="I91" s="142"/>
      <c r="J91" s="142"/>
      <c r="K91" s="142"/>
      <c r="L91" s="142"/>
      <c r="M91" s="142"/>
      <c r="N91" s="143"/>
      <c r="O91" s="81" t="s">
        <v>3254</v>
      </c>
      <c r="P91" s="134" t="s">
        <v>3083</v>
      </c>
      <c r="Q91" s="135"/>
      <c r="R91" s="135"/>
      <c r="S91" s="135"/>
      <c r="T91" s="135"/>
      <c r="U91" s="135"/>
      <c r="V91" s="135"/>
      <c r="W91" s="135"/>
      <c r="X91" s="135"/>
      <c r="Y91" s="135"/>
      <c r="Z91" s="135"/>
      <c r="AA91" s="135"/>
      <c r="AB91" s="135"/>
      <c r="AC91" s="135"/>
      <c r="AD91" s="136"/>
      <c r="AE91" s="137" t="str">
        <f t="shared" ref="AE91" ca="1" si="50">IFERROR(INDIRECT(P91&amp;"!D8"),"")</f>
        <v>azn_202310_backup_text_mml_mmlre_inj</v>
      </c>
      <c r="AF91" s="138"/>
      <c r="AG91" s="138"/>
      <c r="AH91" s="138"/>
      <c r="AI91" s="138"/>
      <c r="AJ91" s="138"/>
      <c r="AK91" s="138"/>
      <c r="AL91" s="139"/>
      <c r="AM91" s="137" t="str">
        <f t="shared" ref="AM91" ca="1" si="51">IFERROR(INDIRECT(P91&amp;"!D9"),"")</f>
        <v>MML_紹介状モジュール_注射記録テーブルから組入れ条件の第一条件で絞り込んだ結果を格納するテーブル</v>
      </c>
      <c r="AN91" s="138"/>
      <c r="AO91" s="138"/>
      <c r="AP91" s="138"/>
      <c r="AQ91" s="138"/>
      <c r="AR91" s="138"/>
      <c r="AS91" s="138"/>
      <c r="AT91" s="138"/>
      <c r="AU91" s="138"/>
      <c r="AV91" s="138"/>
      <c r="AW91" s="138"/>
      <c r="AX91" s="138"/>
      <c r="AY91" s="138"/>
      <c r="AZ91" s="138"/>
      <c r="BA91" s="138"/>
      <c r="BB91" s="138"/>
      <c r="BC91" s="138"/>
      <c r="BD91" s="138"/>
      <c r="BE91" s="138"/>
      <c r="BF91" s="138"/>
      <c r="BG91" s="138"/>
      <c r="BH91" s="138"/>
      <c r="BI91" s="138"/>
      <c r="BJ91" s="140"/>
      <c r="BK91" s="32" t="str">
        <f t="shared" si="39"/>
        <v>ENT_01_A6-54_バックアップ_MML_紹介状モジュール_注射記録.sql</v>
      </c>
    </row>
    <row r="92" spans="1:63" ht="37.5" hidden="1" customHeight="1" outlineLevel="1">
      <c r="A92" s="34" t="str">
        <f t="shared" si="43"/>
        <v>バックアップ_MML_紹介状モジュール_注射記録投薬</v>
      </c>
      <c r="B92" s="144" t="str">
        <f t="shared" si="20"/>
        <v>01</v>
      </c>
      <c r="C92" s="145"/>
      <c r="D92" s="145"/>
      <c r="E92" s="145"/>
      <c r="F92" s="146"/>
      <c r="G92" s="141" t="s">
        <v>197</v>
      </c>
      <c r="H92" s="142"/>
      <c r="I92" s="142"/>
      <c r="J92" s="142"/>
      <c r="K92" s="142"/>
      <c r="L92" s="142"/>
      <c r="M92" s="142"/>
      <c r="N92" s="143"/>
      <c r="O92" s="81" t="s">
        <v>3255</v>
      </c>
      <c r="P92" s="134" t="s">
        <v>3084</v>
      </c>
      <c r="Q92" s="135"/>
      <c r="R92" s="135"/>
      <c r="S92" s="135"/>
      <c r="T92" s="135"/>
      <c r="U92" s="135"/>
      <c r="V92" s="135"/>
      <c r="W92" s="135"/>
      <c r="X92" s="135"/>
      <c r="Y92" s="135"/>
      <c r="Z92" s="135"/>
      <c r="AA92" s="135"/>
      <c r="AB92" s="135"/>
      <c r="AC92" s="135"/>
      <c r="AD92" s="136"/>
      <c r="AE92" s="137" t="str">
        <f t="shared" ca="1" si="44"/>
        <v>azn_202310_backup_text_mml_mmlre_inj_medication</v>
      </c>
      <c r="AF92" s="138"/>
      <c r="AG92" s="138"/>
      <c r="AH92" s="138"/>
      <c r="AI92" s="138"/>
      <c r="AJ92" s="138"/>
      <c r="AK92" s="138"/>
      <c r="AL92" s="139"/>
      <c r="AM92" s="137" t="str">
        <f t="shared" ca="1" si="45"/>
        <v>MML_紹介状モジュール_注射記録投薬テーブルから組入れ条件の第一条件で絞り込んだ結果を格納するテーブル</v>
      </c>
      <c r="AN92" s="138"/>
      <c r="AO92" s="138"/>
      <c r="AP92" s="138"/>
      <c r="AQ92" s="138"/>
      <c r="AR92" s="138"/>
      <c r="AS92" s="138"/>
      <c r="AT92" s="138"/>
      <c r="AU92" s="138"/>
      <c r="AV92" s="138"/>
      <c r="AW92" s="138"/>
      <c r="AX92" s="138"/>
      <c r="AY92" s="138"/>
      <c r="AZ92" s="138"/>
      <c r="BA92" s="138"/>
      <c r="BB92" s="138"/>
      <c r="BC92" s="138"/>
      <c r="BD92" s="138"/>
      <c r="BE92" s="138"/>
      <c r="BF92" s="138"/>
      <c r="BG92" s="138"/>
      <c r="BH92" s="138"/>
      <c r="BI92" s="138"/>
      <c r="BJ92" s="140"/>
      <c r="BK92" s="32" t="str">
        <f t="shared" si="39"/>
        <v>ENT_01_A6-55_バックアップ_MML_紹介状モジュール_注射記録投薬.sql</v>
      </c>
    </row>
    <row r="93" spans="1:63" ht="37.5" hidden="1" customHeight="1" outlineLevel="1">
      <c r="A93" s="34" t="str">
        <f t="shared" si="43"/>
        <v>バックアップ_MML_紹介状モジュール_注射記録薬剤</v>
      </c>
      <c r="B93" s="144" t="str">
        <f t="shared" si="20"/>
        <v>01</v>
      </c>
      <c r="C93" s="145"/>
      <c r="D93" s="145"/>
      <c r="E93" s="145"/>
      <c r="F93" s="146"/>
      <c r="G93" s="141" t="s">
        <v>197</v>
      </c>
      <c r="H93" s="142"/>
      <c r="I93" s="142"/>
      <c r="J93" s="142"/>
      <c r="K93" s="142"/>
      <c r="L93" s="142"/>
      <c r="M93" s="142"/>
      <c r="N93" s="143"/>
      <c r="O93" s="81" t="s">
        <v>3256</v>
      </c>
      <c r="P93" s="134" t="s">
        <v>3087</v>
      </c>
      <c r="Q93" s="135"/>
      <c r="R93" s="135"/>
      <c r="S93" s="135"/>
      <c r="T93" s="135"/>
      <c r="U93" s="135"/>
      <c r="V93" s="135"/>
      <c r="W93" s="135"/>
      <c r="X93" s="135"/>
      <c r="Y93" s="135"/>
      <c r="Z93" s="135"/>
      <c r="AA93" s="135"/>
      <c r="AB93" s="135"/>
      <c r="AC93" s="135"/>
      <c r="AD93" s="136"/>
      <c r="AE93" s="137" t="str">
        <f t="shared" ca="1" si="44"/>
        <v>azn_202310_backup_text_mml_mmlre_inj_medicine</v>
      </c>
      <c r="AF93" s="138"/>
      <c r="AG93" s="138"/>
      <c r="AH93" s="138"/>
      <c r="AI93" s="138"/>
      <c r="AJ93" s="138"/>
      <c r="AK93" s="138"/>
      <c r="AL93" s="139"/>
      <c r="AM93" s="137" t="str">
        <f t="shared" ca="1" si="45"/>
        <v>MML_紹介状モジュール_注射記録薬剤テーブルから組入れ条件の第一条件で絞り込んだ結果を格納するテーブル</v>
      </c>
      <c r="AN93" s="138"/>
      <c r="AO93" s="138"/>
      <c r="AP93" s="138"/>
      <c r="AQ93" s="138"/>
      <c r="AR93" s="138"/>
      <c r="AS93" s="138"/>
      <c r="AT93" s="138"/>
      <c r="AU93" s="138"/>
      <c r="AV93" s="138"/>
      <c r="AW93" s="138"/>
      <c r="AX93" s="138"/>
      <c r="AY93" s="138"/>
      <c r="AZ93" s="138"/>
      <c r="BA93" s="138"/>
      <c r="BB93" s="138"/>
      <c r="BC93" s="138"/>
      <c r="BD93" s="138"/>
      <c r="BE93" s="138"/>
      <c r="BF93" s="138"/>
      <c r="BG93" s="138"/>
      <c r="BH93" s="138"/>
      <c r="BI93" s="138"/>
      <c r="BJ93" s="140"/>
      <c r="BK93" s="32" t="str">
        <f t="shared" si="39"/>
        <v>ENT_01_A6-56_バックアップ_MML_紹介状モジュール_注射記録薬剤.sql</v>
      </c>
    </row>
    <row r="94" spans="1:63" ht="37.5" hidden="1" customHeight="1" outlineLevel="1">
      <c r="A94" s="34" t="str">
        <f t="shared" si="43"/>
        <v>バックアップ_MML_紹介状モジュール_患者情報</v>
      </c>
      <c r="B94" s="144" t="str">
        <f t="shared" si="20"/>
        <v>01</v>
      </c>
      <c r="C94" s="145"/>
      <c r="D94" s="145"/>
      <c r="E94" s="145"/>
      <c r="F94" s="146"/>
      <c r="G94" s="141" t="s">
        <v>197</v>
      </c>
      <c r="H94" s="142"/>
      <c r="I94" s="142"/>
      <c r="J94" s="142"/>
      <c r="K94" s="142"/>
      <c r="L94" s="142"/>
      <c r="M94" s="142"/>
      <c r="N94" s="143"/>
      <c r="O94" s="81" t="s">
        <v>3257</v>
      </c>
      <c r="P94" s="134" t="s">
        <v>3088</v>
      </c>
      <c r="Q94" s="135"/>
      <c r="R94" s="135"/>
      <c r="S94" s="135"/>
      <c r="T94" s="135"/>
      <c r="U94" s="135"/>
      <c r="V94" s="135"/>
      <c r="W94" s="135"/>
      <c r="X94" s="135"/>
      <c r="Y94" s="135"/>
      <c r="Z94" s="135"/>
      <c r="AA94" s="135"/>
      <c r="AB94" s="135"/>
      <c r="AC94" s="135"/>
      <c r="AD94" s="136"/>
      <c r="AE94" s="137" t="str">
        <f t="shared" ca="1" si="44"/>
        <v>azn_202310_backup_text_mml_mmlre_pi</v>
      </c>
      <c r="AF94" s="138"/>
      <c r="AG94" s="138"/>
      <c r="AH94" s="138"/>
      <c r="AI94" s="138"/>
      <c r="AJ94" s="138"/>
      <c r="AK94" s="138"/>
      <c r="AL94" s="139"/>
      <c r="AM94" s="137" t="str">
        <f t="shared" ca="1" si="45"/>
        <v>MML_紹介状モジュール_患者情報テーブルから組入れ条件の第一条件で絞り込んだ結果を格納するテーブル</v>
      </c>
      <c r="AN94" s="138"/>
      <c r="AO94" s="138"/>
      <c r="AP94" s="138"/>
      <c r="AQ94" s="138"/>
      <c r="AR94" s="138"/>
      <c r="AS94" s="138"/>
      <c r="AT94" s="138"/>
      <c r="AU94" s="138"/>
      <c r="AV94" s="138"/>
      <c r="AW94" s="138"/>
      <c r="AX94" s="138"/>
      <c r="AY94" s="138"/>
      <c r="AZ94" s="138"/>
      <c r="BA94" s="138"/>
      <c r="BB94" s="138"/>
      <c r="BC94" s="138"/>
      <c r="BD94" s="138"/>
      <c r="BE94" s="138"/>
      <c r="BF94" s="138"/>
      <c r="BG94" s="138"/>
      <c r="BH94" s="138"/>
      <c r="BI94" s="138"/>
      <c r="BJ94" s="140"/>
      <c r="BK94" s="32" t="str">
        <f t="shared" si="39"/>
        <v>ENT_01_A6-57_バックアップ_MML_紹介状モジュール_患者情報.sql</v>
      </c>
    </row>
    <row r="95" spans="1:63" ht="37.5" hidden="1" customHeight="1" outlineLevel="1">
      <c r="A95" s="34" t="str">
        <f t="shared" si="43"/>
        <v>バックアップ_MML_紹介状モジュール_患者情報住所</v>
      </c>
      <c r="B95" s="144" t="str">
        <f t="shared" si="20"/>
        <v>01</v>
      </c>
      <c r="C95" s="145"/>
      <c r="D95" s="145"/>
      <c r="E95" s="145"/>
      <c r="F95" s="146"/>
      <c r="G95" s="141" t="s">
        <v>197</v>
      </c>
      <c r="H95" s="142"/>
      <c r="I95" s="142"/>
      <c r="J95" s="142"/>
      <c r="K95" s="142"/>
      <c r="L95" s="142"/>
      <c r="M95" s="142"/>
      <c r="N95" s="143"/>
      <c r="O95" s="81" t="s">
        <v>3258</v>
      </c>
      <c r="P95" s="134" t="s">
        <v>3098</v>
      </c>
      <c r="Q95" s="135"/>
      <c r="R95" s="135"/>
      <c r="S95" s="135"/>
      <c r="T95" s="135"/>
      <c r="U95" s="135"/>
      <c r="V95" s="135"/>
      <c r="W95" s="135"/>
      <c r="X95" s="135"/>
      <c r="Y95" s="135"/>
      <c r="Z95" s="135"/>
      <c r="AA95" s="135"/>
      <c r="AB95" s="135"/>
      <c r="AC95" s="135"/>
      <c r="AD95" s="136"/>
      <c r="AE95" s="137" t="str">
        <f t="shared" ca="1" si="44"/>
        <v>azn_202310_backup_text_mml_mmlre_pi_address</v>
      </c>
      <c r="AF95" s="138"/>
      <c r="AG95" s="138"/>
      <c r="AH95" s="138"/>
      <c r="AI95" s="138"/>
      <c r="AJ95" s="138"/>
      <c r="AK95" s="138"/>
      <c r="AL95" s="139"/>
      <c r="AM95" s="137" t="str">
        <f t="shared" ca="1" si="45"/>
        <v>MML_紹介状モジュール_患者情報住所テーブルから組入れ条件の第一条件で絞り込んだ結果を格納するテーブル</v>
      </c>
      <c r="AN95" s="138"/>
      <c r="AO95" s="138"/>
      <c r="AP95" s="138"/>
      <c r="AQ95" s="138"/>
      <c r="AR95" s="138"/>
      <c r="AS95" s="138"/>
      <c r="AT95" s="138"/>
      <c r="AU95" s="138"/>
      <c r="AV95" s="138"/>
      <c r="AW95" s="138"/>
      <c r="AX95" s="138"/>
      <c r="AY95" s="138"/>
      <c r="AZ95" s="138"/>
      <c r="BA95" s="138"/>
      <c r="BB95" s="138"/>
      <c r="BC95" s="138"/>
      <c r="BD95" s="138"/>
      <c r="BE95" s="138"/>
      <c r="BF95" s="138"/>
      <c r="BG95" s="138"/>
      <c r="BH95" s="138"/>
      <c r="BI95" s="138"/>
      <c r="BJ95" s="140"/>
      <c r="BK95" s="32" t="str">
        <f t="shared" si="39"/>
        <v>ENT_01_A6-58_バックアップ_MML_紹介状モジュール_患者情報住所.sql</v>
      </c>
    </row>
    <row r="96" spans="1:63" ht="37.5" hidden="1" customHeight="1" outlineLevel="1">
      <c r="A96" s="34" t="str">
        <f t="shared" si="43"/>
        <v>バックアップ_MML_紹介状モジュール_処方箋</v>
      </c>
      <c r="B96" s="144" t="str">
        <f t="shared" si="20"/>
        <v>01</v>
      </c>
      <c r="C96" s="145"/>
      <c r="D96" s="145"/>
      <c r="E96" s="145"/>
      <c r="F96" s="146"/>
      <c r="G96" s="141" t="s">
        <v>197</v>
      </c>
      <c r="H96" s="142"/>
      <c r="I96" s="142"/>
      <c r="J96" s="142"/>
      <c r="K96" s="142"/>
      <c r="L96" s="142"/>
      <c r="M96" s="142"/>
      <c r="N96" s="143"/>
      <c r="O96" s="81" t="s">
        <v>3259</v>
      </c>
      <c r="P96" s="134" t="s">
        <v>3116</v>
      </c>
      <c r="Q96" s="135"/>
      <c r="R96" s="135"/>
      <c r="S96" s="135"/>
      <c r="T96" s="135"/>
      <c r="U96" s="135"/>
      <c r="V96" s="135"/>
      <c r="W96" s="135"/>
      <c r="X96" s="135"/>
      <c r="Y96" s="135"/>
      <c r="Z96" s="135"/>
      <c r="AA96" s="135"/>
      <c r="AB96" s="135"/>
      <c r="AC96" s="135"/>
      <c r="AD96" s="136"/>
      <c r="AE96" s="137" t="str">
        <f t="shared" ca="1" si="44"/>
        <v>azn_202310_backup_text_mml_mmlre_ps</v>
      </c>
      <c r="AF96" s="138"/>
      <c r="AG96" s="138"/>
      <c r="AH96" s="138"/>
      <c r="AI96" s="138"/>
      <c r="AJ96" s="138"/>
      <c r="AK96" s="138"/>
      <c r="AL96" s="139"/>
      <c r="AM96" s="137" t="str">
        <f t="shared" ca="1" si="45"/>
        <v>MML_紹介状モジュール_処方箋テーブルから組入れ条件の第一条件で絞り込んだ結果を格納するテーブル</v>
      </c>
      <c r="AN96" s="138"/>
      <c r="AO96" s="138"/>
      <c r="AP96" s="138"/>
      <c r="AQ96" s="138"/>
      <c r="AR96" s="138"/>
      <c r="AS96" s="138"/>
      <c r="AT96" s="138"/>
      <c r="AU96" s="138"/>
      <c r="AV96" s="138"/>
      <c r="AW96" s="138"/>
      <c r="AX96" s="138"/>
      <c r="AY96" s="138"/>
      <c r="AZ96" s="138"/>
      <c r="BA96" s="138"/>
      <c r="BB96" s="138"/>
      <c r="BC96" s="138"/>
      <c r="BD96" s="138"/>
      <c r="BE96" s="138"/>
      <c r="BF96" s="138"/>
      <c r="BG96" s="138"/>
      <c r="BH96" s="138"/>
      <c r="BI96" s="138"/>
      <c r="BJ96" s="140"/>
      <c r="BK96" s="32" t="str">
        <f t="shared" si="39"/>
        <v>ENT_01_A6-59_バックアップ_MML_紹介状モジュール_処方箋.sql</v>
      </c>
    </row>
    <row r="97" spans="1:64" ht="37.5" hidden="1" customHeight="1" outlineLevel="1">
      <c r="A97" s="34" t="str">
        <f t="shared" si="43"/>
        <v>バックアップ_MML_紹介状モジュール_処方箋投薬</v>
      </c>
      <c r="B97" s="144" t="str">
        <f t="shared" si="20"/>
        <v>01</v>
      </c>
      <c r="C97" s="145"/>
      <c r="D97" s="145"/>
      <c r="E97" s="145"/>
      <c r="F97" s="146"/>
      <c r="G97" s="141" t="s">
        <v>197</v>
      </c>
      <c r="H97" s="142"/>
      <c r="I97" s="142"/>
      <c r="J97" s="142"/>
      <c r="K97" s="142"/>
      <c r="L97" s="142"/>
      <c r="M97" s="142"/>
      <c r="N97" s="143"/>
      <c r="O97" s="81" t="s">
        <v>3260</v>
      </c>
      <c r="P97" s="134" t="s">
        <v>3117</v>
      </c>
      <c r="Q97" s="135"/>
      <c r="R97" s="135"/>
      <c r="S97" s="135"/>
      <c r="T97" s="135"/>
      <c r="U97" s="135"/>
      <c r="V97" s="135"/>
      <c r="W97" s="135"/>
      <c r="X97" s="135"/>
      <c r="Y97" s="135"/>
      <c r="Z97" s="135"/>
      <c r="AA97" s="135"/>
      <c r="AB97" s="135"/>
      <c r="AC97" s="135"/>
      <c r="AD97" s="136"/>
      <c r="AE97" s="137" t="str">
        <f t="shared" ca="1" si="44"/>
        <v>azn_202310_backup_text_mml_mmlre_ps_medication</v>
      </c>
      <c r="AF97" s="138"/>
      <c r="AG97" s="138"/>
      <c r="AH97" s="138"/>
      <c r="AI97" s="138"/>
      <c r="AJ97" s="138"/>
      <c r="AK97" s="138"/>
      <c r="AL97" s="139"/>
      <c r="AM97" s="137" t="str">
        <f t="shared" ca="1" si="45"/>
        <v>MML_紹介状モジュール_処方箋投薬テーブルから組入れ条件の第一条件で絞り込んだ結果を格納するテーブル</v>
      </c>
      <c r="AN97" s="138"/>
      <c r="AO97" s="138"/>
      <c r="AP97" s="138"/>
      <c r="AQ97" s="138"/>
      <c r="AR97" s="138"/>
      <c r="AS97" s="138"/>
      <c r="AT97" s="138"/>
      <c r="AU97" s="138"/>
      <c r="AV97" s="138"/>
      <c r="AW97" s="138"/>
      <c r="AX97" s="138"/>
      <c r="AY97" s="138"/>
      <c r="AZ97" s="138"/>
      <c r="BA97" s="138"/>
      <c r="BB97" s="138"/>
      <c r="BC97" s="138"/>
      <c r="BD97" s="138"/>
      <c r="BE97" s="138"/>
      <c r="BF97" s="138"/>
      <c r="BG97" s="138"/>
      <c r="BH97" s="138"/>
      <c r="BI97" s="138"/>
      <c r="BJ97" s="140"/>
      <c r="BK97" s="32" t="str">
        <f t="shared" si="39"/>
        <v>ENT_01_A6-60_バックアップ_MML_紹介状モジュール_処方箋投薬.sql</v>
      </c>
    </row>
    <row r="98" spans="1:64" ht="37.5" hidden="1" customHeight="1" outlineLevel="1">
      <c r="A98" s="34" t="str">
        <f t="shared" si="36"/>
        <v>バックアップ_MML_紹介状モジュール_処方箋薬剤</v>
      </c>
      <c r="B98" s="144" t="str">
        <f t="shared" si="20"/>
        <v>01</v>
      </c>
      <c r="C98" s="145"/>
      <c r="D98" s="145"/>
      <c r="E98" s="145"/>
      <c r="F98" s="146"/>
      <c r="G98" s="141" t="s">
        <v>197</v>
      </c>
      <c r="H98" s="142"/>
      <c r="I98" s="142"/>
      <c r="J98" s="142"/>
      <c r="K98" s="142"/>
      <c r="L98" s="142"/>
      <c r="M98" s="142"/>
      <c r="N98" s="143"/>
      <c r="O98" s="81" t="s">
        <v>3261</v>
      </c>
      <c r="P98" s="134" t="s">
        <v>3118</v>
      </c>
      <c r="Q98" s="135"/>
      <c r="R98" s="135"/>
      <c r="S98" s="135"/>
      <c r="T98" s="135"/>
      <c r="U98" s="135"/>
      <c r="V98" s="135"/>
      <c r="W98" s="135"/>
      <c r="X98" s="135"/>
      <c r="Y98" s="135"/>
      <c r="Z98" s="135"/>
      <c r="AA98" s="135"/>
      <c r="AB98" s="135"/>
      <c r="AC98" s="135"/>
      <c r="AD98" s="136"/>
      <c r="AE98" s="137" t="str">
        <f t="shared" ca="1" si="37"/>
        <v>azn_202310_backup_text_mml_mmlre_ps_medicine</v>
      </c>
      <c r="AF98" s="138"/>
      <c r="AG98" s="138"/>
      <c r="AH98" s="138"/>
      <c r="AI98" s="138"/>
      <c r="AJ98" s="138"/>
      <c r="AK98" s="138"/>
      <c r="AL98" s="139"/>
      <c r="AM98" s="137" t="str">
        <f t="shared" ca="1" si="38"/>
        <v>MML_紹介状モジュール_処方箋薬剤テーブルから組入れ条件の第一条件で絞り込んだ結果を格納するテーブル</v>
      </c>
      <c r="AN98" s="138"/>
      <c r="AO98" s="138"/>
      <c r="AP98" s="138"/>
      <c r="AQ98" s="138"/>
      <c r="AR98" s="138"/>
      <c r="AS98" s="138"/>
      <c r="AT98" s="138"/>
      <c r="AU98" s="138"/>
      <c r="AV98" s="138"/>
      <c r="AW98" s="138"/>
      <c r="AX98" s="138"/>
      <c r="AY98" s="138"/>
      <c r="AZ98" s="138"/>
      <c r="BA98" s="138"/>
      <c r="BB98" s="138"/>
      <c r="BC98" s="138"/>
      <c r="BD98" s="138"/>
      <c r="BE98" s="138"/>
      <c r="BF98" s="138"/>
      <c r="BG98" s="138"/>
      <c r="BH98" s="138"/>
      <c r="BI98" s="138"/>
      <c r="BJ98" s="140"/>
      <c r="BK98" s="32" t="str">
        <f t="shared" si="39"/>
        <v>ENT_01_A6-61_バックアップ_MML_紹介状モジュール_処方箋薬剤.sql</v>
      </c>
    </row>
    <row r="99" spans="1:64" ht="37.5" hidden="1" customHeight="1" outlineLevel="1">
      <c r="A99" s="34" t="str">
        <f t="shared" ref="A99" si="52">P99</f>
        <v>バックアップ_MML_紹介状モジュール_臨床サマリー情報経過記録</v>
      </c>
      <c r="B99" s="144" t="str">
        <f t="shared" si="20"/>
        <v>01</v>
      </c>
      <c r="C99" s="145"/>
      <c r="D99" s="145"/>
      <c r="E99" s="145"/>
      <c r="F99" s="146"/>
      <c r="G99" s="141" t="s">
        <v>197</v>
      </c>
      <c r="H99" s="142"/>
      <c r="I99" s="142"/>
      <c r="J99" s="142"/>
      <c r="K99" s="142"/>
      <c r="L99" s="142"/>
      <c r="M99" s="142"/>
      <c r="N99" s="143"/>
      <c r="O99" s="81" t="s">
        <v>3262</v>
      </c>
      <c r="P99" s="134" t="s">
        <v>3119</v>
      </c>
      <c r="Q99" s="135"/>
      <c r="R99" s="135"/>
      <c r="S99" s="135"/>
      <c r="T99" s="135"/>
      <c r="U99" s="135"/>
      <c r="V99" s="135"/>
      <c r="W99" s="135"/>
      <c r="X99" s="135"/>
      <c r="Y99" s="135"/>
      <c r="Z99" s="135"/>
      <c r="AA99" s="135"/>
      <c r="AB99" s="135"/>
      <c r="AC99" s="135"/>
      <c r="AD99" s="136"/>
      <c r="AE99" s="137" t="s">
        <v>3128</v>
      </c>
      <c r="AF99" s="138"/>
      <c r="AG99" s="138"/>
      <c r="AH99" s="138"/>
      <c r="AI99" s="138"/>
      <c r="AJ99" s="138"/>
      <c r="AK99" s="138"/>
      <c r="AL99" s="139"/>
      <c r="AM99" s="137" t="s">
        <v>3129</v>
      </c>
      <c r="AN99" s="138"/>
      <c r="AO99" s="138"/>
      <c r="AP99" s="138"/>
      <c r="AQ99" s="138"/>
      <c r="AR99" s="138"/>
      <c r="AS99" s="138"/>
      <c r="AT99" s="138"/>
      <c r="AU99" s="138"/>
      <c r="AV99" s="138"/>
      <c r="AW99" s="138"/>
      <c r="AX99" s="138"/>
      <c r="AY99" s="138"/>
      <c r="AZ99" s="138"/>
      <c r="BA99" s="138"/>
      <c r="BB99" s="138"/>
      <c r="BC99" s="138"/>
      <c r="BD99" s="138"/>
      <c r="BE99" s="138"/>
      <c r="BF99" s="138"/>
      <c r="BG99" s="138"/>
      <c r="BH99" s="138"/>
      <c r="BI99" s="138"/>
      <c r="BJ99" s="140"/>
      <c r="BK99" s="32" t="str">
        <f t="shared" si="39"/>
        <v>ENT_01_A6-62_バックアップ_MML_紹介状モジュール_臨床サマリー情報経過記録.sql</v>
      </c>
    </row>
    <row r="100" spans="1:64" ht="37.5" hidden="1" customHeight="1" outlineLevel="1">
      <c r="A100" s="34" t="str">
        <f t="shared" ref="A100" si="53">P100</f>
        <v>バックアップ_MML_紹介状モジュール_診療科情報</v>
      </c>
      <c r="B100" s="144" t="str">
        <f t="shared" si="20"/>
        <v>01</v>
      </c>
      <c r="C100" s="145"/>
      <c r="D100" s="145"/>
      <c r="E100" s="145"/>
      <c r="F100" s="146"/>
      <c r="G100" s="141" t="s">
        <v>197</v>
      </c>
      <c r="H100" s="142"/>
      <c r="I100" s="142"/>
      <c r="J100" s="142"/>
      <c r="K100" s="142"/>
      <c r="L100" s="142"/>
      <c r="M100" s="142"/>
      <c r="N100" s="143"/>
      <c r="O100" s="81" t="s">
        <v>3263</v>
      </c>
      <c r="P100" s="134" t="s">
        <v>3130</v>
      </c>
      <c r="Q100" s="135"/>
      <c r="R100" s="135"/>
      <c r="S100" s="135"/>
      <c r="T100" s="135"/>
      <c r="U100" s="135"/>
      <c r="V100" s="135"/>
      <c r="W100" s="135"/>
      <c r="X100" s="135"/>
      <c r="Y100" s="135"/>
      <c r="Z100" s="135"/>
      <c r="AA100" s="135"/>
      <c r="AB100" s="135"/>
      <c r="AC100" s="135"/>
      <c r="AD100" s="136"/>
      <c r="AE100" s="137" t="str">
        <f t="shared" ref="AE100" ca="1" si="54">IFERROR(INDIRECT(P100&amp;"!D8"),"")</f>
        <v>azn_202310_backup_text_mml_mmlre_dp</v>
      </c>
      <c r="AF100" s="138"/>
      <c r="AG100" s="138"/>
      <c r="AH100" s="138"/>
      <c r="AI100" s="138"/>
      <c r="AJ100" s="138"/>
      <c r="AK100" s="138"/>
      <c r="AL100" s="139"/>
      <c r="AM100" s="137" t="str">
        <f t="shared" ref="AM100" ca="1" si="55">IFERROR(INDIRECT(P100&amp;"!D9"),"")</f>
        <v>MML_紹介状モジュール_診療科情報テーブルから組入れ条件の第一条件で絞り込んだ結果を格納するテーブル</v>
      </c>
      <c r="AN100" s="138"/>
      <c r="AO100" s="138"/>
      <c r="AP100" s="138"/>
      <c r="AQ100" s="138"/>
      <c r="AR100" s="138"/>
      <c r="AS100" s="138"/>
      <c r="AT100" s="138"/>
      <c r="AU100" s="138"/>
      <c r="AV100" s="138"/>
      <c r="AW100" s="138"/>
      <c r="AX100" s="138"/>
      <c r="AY100" s="138"/>
      <c r="AZ100" s="138"/>
      <c r="BA100" s="138"/>
      <c r="BB100" s="138"/>
      <c r="BC100" s="138"/>
      <c r="BD100" s="138"/>
      <c r="BE100" s="138"/>
      <c r="BF100" s="138"/>
      <c r="BG100" s="138"/>
      <c r="BH100" s="138"/>
      <c r="BI100" s="138"/>
      <c r="BJ100" s="140"/>
      <c r="BK100" s="32" t="str">
        <f t="shared" si="39"/>
        <v>ENT_01_A6-63_バックアップ_MML_紹介状モジュール_診療科情報.sql</v>
      </c>
    </row>
    <row r="101" spans="1:64" ht="37.5" hidden="1" customHeight="1" outlineLevel="1">
      <c r="A101" s="34" t="str">
        <f t="shared" ref="A101:A115" si="56">P101</f>
        <v>バックアップ_DPC調査データ_Dファイル</v>
      </c>
      <c r="B101" s="144" t="str">
        <f>TEXT(1,"00")</f>
        <v>01</v>
      </c>
      <c r="C101" s="145"/>
      <c r="D101" s="145"/>
      <c r="E101" s="145"/>
      <c r="F101" s="146"/>
      <c r="G101" s="141" t="s">
        <v>197</v>
      </c>
      <c r="H101" s="142"/>
      <c r="I101" s="142"/>
      <c r="J101" s="142"/>
      <c r="K101" s="142"/>
      <c r="L101" s="142"/>
      <c r="M101" s="142"/>
      <c r="N101" s="143"/>
      <c r="O101" s="92" t="s">
        <v>3131</v>
      </c>
      <c r="P101" s="174" t="s">
        <v>192</v>
      </c>
      <c r="Q101" s="175"/>
      <c r="R101" s="175"/>
      <c r="S101" s="175"/>
      <c r="T101" s="175"/>
      <c r="U101" s="175"/>
      <c r="V101" s="175"/>
      <c r="W101" s="175"/>
      <c r="X101" s="175"/>
      <c r="Y101" s="175"/>
      <c r="Z101" s="175"/>
      <c r="AA101" s="175"/>
      <c r="AB101" s="175"/>
      <c r="AC101" s="175"/>
      <c r="AD101" s="176"/>
      <c r="AE101" s="179" t="str">
        <f t="shared" ref="AE101:AE106" ca="1" si="57">IFERROR(INDIRECT(P101&amp;"!D8"),"")</f>
        <v>azn_202310_backup_merge_dpc_dn</v>
      </c>
      <c r="AF101" s="180"/>
      <c r="AG101" s="180"/>
      <c r="AH101" s="180"/>
      <c r="AI101" s="180"/>
      <c r="AJ101" s="180"/>
      <c r="AK101" s="180"/>
      <c r="AL101" s="181"/>
      <c r="AM101" s="179" t="str">
        <f t="shared" ref="AM101:AM106" ca="1" si="58">IFERROR(INDIRECT(P101&amp;"!D9"),"")</f>
        <v>DPC調査データ_Dファイルテーブルから組入れ条件の第一条件で絞り込んだ結果を格納するテーブル</v>
      </c>
      <c r="AN101" s="180"/>
      <c r="AO101" s="180"/>
      <c r="AP101" s="180"/>
      <c r="AQ101" s="180"/>
      <c r="AR101" s="180"/>
      <c r="AS101" s="180"/>
      <c r="AT101" s="180"/>
      <c r="AU101" s="180"/>
      <c r="AV101" s="180"/>
      <c r="AW101" s="180"/>
      <c r="AX101" s="180"/>
      <c r="AY101" s="180"/>
      <c r="AZ101" s="180"/>
      <c r="BA101" s="180"/>
      <c r="BB101" s="180"/>
      <c r="BC101" s="180"/>
      <c r="BD101" s="180"/>
      <c r="BE101" s="180"/>
      <c r="BF101" s="180"/>
      <c r="BG101" s="180"/>
      <c r="BH101" s="180"/>
      <c r="BI101" s="180"/>
      <c r="BJ101" s="185"/>
      <c r="BK101" s="32" t="str">
        <f t="shared" ref="BK101:BK132" si="59">IF(P101&lt;&gt;"",O101&amp;"_"&amp;P101&amp;".sql","")</f>
        <v>ENT_01_C1-01_バックアップ_DPC調査データ_Dファイル.sql</v>
      </c>
    </row>
    <row r="102" spans="1:64" ht="37.5" hidden="1" customHeight="1" outlineLevel="1">
      <c r="A102" s="34" t="str">
        <f t="shared" si="56"/>
        <v>バックアップ_DPC調査データ_入院EF統合ファイル</v>
      </c>
      <c r="B102" s="144" t="str">
        <f>TEXT(1,"00")</f>
        <v>01</v>
      </c>
      <c r="C102" s="145"/>
      <c r="D102" s="145"/>
      <c r="E102" s="145"/>
      <c r="F102" s="146"/>
      <c r="G102" s="141" t="s">
        <v>197</v>
      </c>
      <c r="H102" s="142"/>
      <c r="I102" s="142"/>
      <c r="J102" s="142"/>
      <c r="K102" s="142"/>
      <c r="L102" s="142"/>
      <c r="M102" s="142"/>
      <c r="N102" s="143"/>
      <c r="O102" s="81" t="s">
        <v>3132</v>
      </c>
      <c r="P102" s="134" t="s">
        <v>193</v>
      </c>
      <c r="Q102" s="135"/>
      <c r="R102" s="135"/>
      <c r="S102" s="135"/>
      <c r="T102" s="135"/>
      <c r="U102" s="135"/>
      <c r="V102" s="135"/>
      <c r="W102" s="135"/>
      <c r="X102" s="135"/>
      <c r="Y102" s="135"/>
      <c r="Z102" s="135"/>
      <c r="AA102" s="135"/>
      <c r="AB102" s="135"/>
      <c r="AC102" s="135"/>
      <c r="AD102" s="136"/>
      <c r="AE102" s="137" t="str">
        <f t="shared" ca="1" si="57"/>
        <v>azn_202310_backup_merge_dpc_efn</v>
      </c>
      <c r="AF102" s="138"/>
      <c r="AG102" s="138"/>
      <c r="AH102" s="138"/>
      <c r="AI102" s="138"/>
      <c r="AJ102" s="138"/>
      <c r="AK102" s="138"/>
      <c r="AL102" s="139"/>
      <c r="AM102" s="137" t="str">
        <f t="shared" ca="1" si="58"/>
        <v>DPC調査データ_入院EF統合ファイルテーブルから組入れ条件の第一条件で絞り込んだ結果を格納するテーブル</v>
      </c>
      <c r="AN102" s="138"/>
      <c r="AO102" s="138"/>
      <c r="AP102" s="138"/>
      <c r="AQ102" s="138"/>
      <c r="AR102" s="138"/>
      <c r="AS102" s="138"/>
      <c r="AT102" s="138"/>
      <c r="AU102" s="138"/>
      <c r="AV102" s="138"/>
      <c r="AW102" s="138"/>
      <c r="AX102" s="138"/>
      <c r="AY102" s="138"/>
      <c r="AZ102" s="138"/>
      <c r="BA102" s="138"/>
      <c r="BB102" s="138"/>
      <c r="BC102" s="138"/>
      <c r="BD102" s="138"/>
      <c r="BE102" s="138"/>
      <c r="BF102" s="138"/>
      <c r="BG102" s="138"/>
      <c r="BH102" s="138"/>
      <c r="BI102" s="138"/>
      <c r="BJ102" s="140"/>
      <c r="BK102" s="32" t="str">
        <f t="shared" si="59"/>
        <v>ENT_01_C1-02_バックアップ_DPC調査データ_入院EF統合ファイル.sql</v>
      </c>
      <c r="BL102" s="32">
        <v>1</v>
      </c>
    </row>
    <row r="103" spans="1:64" ht="37.5" hidden="1" customHeight="1" outlineLevel="1">
      <c r="A103" s="34" t="str">
        <f t="shared" si="56"/>
        <v>バックアップ_DPC調査データ_外来EF統合ファイル</v>
      </c>
      <c r="B103" s="144" t="str">
        <f t="shared" ref="B103:B106" si="60">TEXT(1,"00")</f>
        <v>01</v>
      </c>
      <c r="C103" s="145"/>
      <c r="D103" s="145"/>
      <c r="E103" s="145"/>
      <c r="F103" s="146"/>
      <c r="G103" s="141" t="s">
        <v>197</v>
      </c>
      <c r="H103" s="142"/>
      <c r="I103" s="142"/>
      <c r="J103" s="142"/>
      <c r="K103" s="142"/>
      <c r="L103" s="142"/>
      <c r="M103" s="142"/>
      <c r="N103" s="143"/>
      <c r="O103" s="81" t="s">
        <v>3133</v>
      </c>
      <c r="P103" s="134" t="s">
        <v>194</v>
      </c>
      <c r="Q103" s="135"/>
      <c r="R103" s="135"/>
      <c r="S103" s="135"/>
      <c r="T103" s="135"/>
      <c r="U103" s="135"/>
      <c r="V103" s="135"/>
      <c r="W103" s="135"/>
      <c r="X103" s="135"/>
      <c r="Y103" s="135"/>
      <c r="Z103" s="135"/>
      <c r="AA103" s="135"/>
      <c r="AB103" s="135"/>
      <c r="AC103" s="135"/>
      <c r="AD103" s="136"/>
      <c r="AE103" s="137" t="str">
        <f t="shared" ca="1" si="57"/>
        <v>azn_202310_backup_merge_dpc_efg</v>
      </c>
      <c r="AF103" s="138"/>
      <c r="AG103" s="138"/>
      <c r="AH103" s="138"/>
      <c r="AI103" s="138"/>
      <c r="AJ103" s="138"/>
      <c r="AK103" s="138"/>
      <c r="AL103" s="139"/>
      <c r="AM103" s="137" t="str">
        <f t="shared" ca="1" si="58"/>
        <v>DPC調査データ_外来EF統合ファイルテーブルから組入れ条件の第一条件で絞り込んだ結果を格納するテーブル</v>
      </c>
      <c r="AN103" s="138"/>
      <c r="AO103" s="138"/>
      <c r="AP103" s="138"/>
      <c r="AQ103" s="138"/>
      <c r="AR103" s="138"/>
      <c r="AS103" s="138"/>
      <c r="AT103" s="138"/>
      <c r="AU103" s="138"/>
      <c r="AV103" s="138"/>
      <c r="AW103" s="138"/>
      <c r="AX103" s="138"/>
      <c r="AY103" s="138"/>
      <c r="AZ103" s="138"/>
      <c r="BA103" s="138"/>
      <c r="BB103" s="138"/>
      <c r="BC103" s="138"/>
      <c r="BD103" s="138"/>
      <c r="BE103" s="138"/>
      <c r="BF103" s="138"/>
      <c r="BG103" s="138"/>
      <c r="BH103" s="138"/>
      <c r="BI103" s="138"/>
      <c r="BJ103" s="140"/>
      <c r="BK103" s="32" t="str">
        <f t="shared" si="59"/>
        <v>ENT_01_C1-03_バックアップ_DPC調査データ_外来EF統合ファイル.sql</v>
      </c>
      <c r="BL103" s="32">
        <v>1</v>
      </c>
    </row>
    <row r="104" spans="1:64" ht="37.5" hidden="1" customHeight="1" outlineLevel="1">
      <c r="A104" s="34" t="str">
        <f t="shared" si="56"/>
        <v>バックアップ_DPC調査データ_Hファイル</v>
      </c>
      <c r="B104" s="144" t="str">
        <f t="shared" si="60"/>
        <v>01</v>
      </c>
      <c r="C104" s="145"/>
      <c r="D104" s="145"/>
      <c r="E104" s="145"/>
      <c r="F104" s="146"/>
      <c r="G104" s="141" t="s">
        <v>197</v>
      </c>
      <c r="H104" s="142"/>
      <c r="I104" s="142"/>
      <c r="J104" s="142"/>
      <c r="K104" s="142"/>
      <c r="L104" s="142"/>
      <c r="M104" s="142"/>
      <c r="N104" s="143"/>
      <c r="O104" s="81" t="s">
        <v>3134</v>
      </c>
      <c r="P104" s="134" t="s">
        <v>195</v>
      </c>
      <c r="Q104" s="135"/>
      <c r="R104" s="135"/>
      <c r="S104" s="135"/>
      <c r="T104" s="135"/>
      <c r="U104" s="135"/>
      <c r="V104" s="135"/>
      <c r="W104" s="135"/>
      <c r="X104" s="135"/>
      <c r="Y104" s="135"/>
      <c r="Z104" s="135"/>
      <c r="AA104" s="135"/>
      <c r="AB104" s="135"/>
      <c r="AC104" s="135"/>
      <c r="AD104" s="136"/>
      <c r="AE104" s="137" t="str">
        <f t="shared" ca="1" si="57"/>
        <v>azn_202310_backup_merge_dpc_hn</v>
      </c>
      <c r="AF104" s="138"/>
      <c r="AG104" s="138"/>
      <c r="AH104" s="138"/>
      <c r="AI104" s="138"/>
      <c r="AJ104" s="138"/>
      <c r="AK104" s="138"/>
      <c r="AL104" s="139"/>
      <c r="AM104" s="137" t="str">
        <f t="shared" ca="1" si="58"/>
        <v>DPC調査データ_Hファイルテーブルから組入れ条件の第一条件で絞り込んだ結果を格納するテーブル</v>
      </c>
      <c r="AN104" s="138"/>
      <c r="AO104" s="138"/>
      <c r="AP104" s="138"/>
      <c r="AQ104" s="138"/>
      <c r="AR104" s="138"/>
      <c r="AS104" s="138"/>
      <c r="AT104" s="138"/>
      <c r="AU104" s="138"/>
      <c r="AV104" s="138"/>
      <c r="AW104" s="138"/>
      <c r="AX104" s="138"/>
      <c r="AY104" s="138"/>
      <c r="AZ104" s="138"/>
      <c r="BA104" s="138"/>
      <c r="BB104" s="138"/>
      <c r="BC104" s="138"/>
      <c r="BD104" s="138"/>
      <c r="BE104" s="138"/>
      <c r="BF104" s="138"/>
      <c r="BG104" s="138"/>
      <c r="BH104" s="138"/>
      <c r="BI104" s="138"/>
      <c r="BJ104" s="140"/>
      <c r="BK104" s="32" t="str">
        <f t="shared" si="59"/>
        <v>ENT_01_C1-04_バックアップ_DPC調査データ_Hファイル.sql</v>
      </c>
    </row>
    <row r="105" spans="1:64" ht="37.5" hidden="1" customHeight="1" outlineLevel="1">
      <c r="A105" s="34" t="str">
        <f t="shared" si="56"/>
        <v>バックアップ_DPC調査データ_様式1</v>
      </c>
      <c r="B105" s="144" t="str">
        <f t="shared" si="60"/>
        <v>01</v>
      </c>
      <c r="C105" s="145"/>
      <c r="D105" s="145"/>
      <c r="E105" s="145"/>
      <c r="F105" s="146"/>
      <c r="G105" s="141" t="s">
        <v>197</v>
      </c>
      <c r="H105" s="142"/>
      <c r="I105" s="142"/>
      <c r="J105" s="142"/>
      <c r="K105" s="142"/>
      <c r="L105" s="142"/>
      <c r="M105" s="142"/>
      <c r="N105" s="143"/>
      <c r="O105" s="81" t="s">
        <v>3135</v>
      </c>
      <c r="P105" s="134" t="s">
        <v>196</v>
      </c>
      <c r="Q105" s="135"/>
      <c r="R105" s="135"/>
      <c r="S105" s="135"/>
      <c r="T105" s="135"/>
      <c r="U105" s="135"/>
      <c r="V105" s="135"/>
      <c r="W105" s="135"/>
      <c r="X105" s="135"/>
      <c r="Y105" s="135"/>
      <c r="Z105" s="135"/>
      <c r="AA105" s="135"/>
      <c r="AB105" s="135"/>
      <c r="AC105" s="135"/>
      <c r="AD105" s="136"/>
      <c r="AE105" s="137" t="str">
        <f t="shared" ca="1" si="57"/>
        <v>azn_202310_backup_merge_dpc_ff1</v>
      </c>
      <c r="AF105" s="138"/>
      <c r="AG105" s="138"/>
      <c r="AH105" s="138"/>
      <c r="AI105" s="138"/>
      <c r="AJ105" s="138"/>
      <c r="AK105" s="138"/>
      <c r="AL105" s="139"/>
      <c r="AM105" s="137" t="str">
        <f t="shared" ca="1" si="58"/>
        <v>DPC調査データ_様式1テーブルから組入れ条件の第一条件で絞り込んだ結果を格納するテーブル</v>
      </c>
      <c r="AN105" s="138"/>
      <c r="AO105" s="138"/>
      <c r="AP105" s="138"/>
      <c r="AQ105" s="138"/>
      <c r="AR105" s="138"/>
      <c r="AS105" s="138"/>
      <c r="AT105" s="138"/>
      <c r="AU105" s="138"/>
      <c r="AV105" s="138"/>
      <c r="AW105" s="138"/>
      <c r="AX105" s="138"/>
      <c r="AY105" s="138"/>
      <c r="AZ105" s="138"/>
      <c r="BA105" s="138"/>
      <c r="BB105" s="138"/>
      <c r="BC105" s="138"/>
      <c r="BD105" s="138"/>
      <c r="BE105" s="138"/>
      <c r="BF105" s="138"/>
      <c r="BG105" s="138"/>
      <c r="BH105" s="138"/>
      <c r="BI105" s="138"/>
      <c r="BJ105" s="140"/>
      <c r="BK105" s="32" t="str">
        <f t="shared" si="59"/>
        <v>ENT_01_C1-05_バックアップ_DPC調査データ_様式1.sql</v>
      </c>
      <c r="BL105" s="32">
        <v>1</v>
      </c>
    </row>
    <row r="106" spans="1:64" ht="37.5" hidden="1" customHeight="1" outlineLevel="1">
      <c r="A106" s="34" t="str">
        <f t="shared" si="56"/>
        <v>バックアップ_DPC調査データ_様式1_診断情報_併存症</v>
      </c>
      <c r="B106" s="144" t="str">
        <f t="shared" si="60"/>
        <v>01</v>
      </c>
      <c r="C106" s="145"/>
      <c r="D106" s="145"/>
      <c r="E106" s="145"/>
      <c r="F106" s="146"/>
      <c r="G106" s="141" t="s">
        <v>197</v>
      </c>
      <c r="H106" s="142"/>
      <c r="I106" s="142"/>
      <c r="J106" s="142"/>
      <c r="K106" s="142"/>
      <c r="L106" s="142"/>
      <c r="M106" s="142"/>
      <c r="N106" s="143"/>
      <c r="O106" s="81" t="s">
        <v>3136</v>
      </c>
      <c r="P106" s="134" t="s">
        <v>315</v>
      </c>
      <c r="Q106" s="135"/>
      <c r="R106" s="135"/>
      <c r="S106" s="135"/>
      <c r="T106" s="135"/>
      <c r="U106" s="135"/>
      <c r="V106" s="135"/>
      <c r="W106" s="135"/>
      <c r="X106" s="135"/>
      <c r="Y106" s="135"/>
      <c r="Z106" s="135"/>
      <c r="AA106" s="135"/>
      <c r="AB106" s="135"/>
      <c r="AC106" s="135"/>
      <c r="AD106" s="136"/>
      <c r="AE106" s="137" t="str">
        <f t="shared" ca="1" si="57"/>
        <v>azn_202310_backup_merge_dpc_ff1_a006040</v>
      </c>
      <c r="AF106" s="138"/>
      <c r="AG106" s="138"/>
      <c r="AH106" s="138"/>
      <c r="AI106" s="138"/>
      <c r="AJ106" s="138"/>
      <c r="AK106" s="138"/>
      <c r="AL106" s="139"/>
      <c r="AM106" s="137" t="str">
        <f t="shared" ca="1" si="58"/>
        <v>DPC調査データ_様式1_診断情報_併存症テーブルから組入れ条件の第一条件で絞り込んだ結果を格納するテーブル</v>
      </c>
      <c r="AN106" s="138"/>
      <c r="AO106" s="138"/>
      <c r="AP106" s="138"/>
      <c r="AQ106" s="138"/>
      <c r="AR106" s="138"/>
      <c r="AS106" s="138"/>
      <c r="AT106" s="138"/>
      <c r="AU106" s="138"/>
      <c r="AV106" s="138"/>
      <c r="AW106" s="138"/>
      <c r="AX106" s="138"/>
      <c r="AY106" s="138"/>
      <c r="AZ106" s="138"/>
      <c r="BA106" s="138"/>
      <c r="BB106" s="138"/>
      <c r="BC106" s="138"/>
      <c r="BD106" s="138"/>
      <c r="BE106" s="138"/>
      <c r="BF106" s="138"/>
      <c r="BG106" s="138"/>
      <c r="BH106" s="138"/>
      <c r="BI106" s="138"/>
      <c r="BJ106" s="140"/>
      <c r="BK106" s="32" t="str">
        <f t="shared" si="59"/>
        <v>ENT_01_C1-07_バックアップ_DPC調査データ_様式1_診断情報_併存症.sql</v>
      </c>
      <c r="BL106" s="32">
        <v>1</v>
      </c>
    </row>
    <row r="107" spans="1:64" ht="37.5" hidden="1" customHeight="1" outlineLevel="1">
      <c r="A107" s="34" t="str">
        <f t="shared" si="56"/>
        <v>バックアップ_DPC調査データ_様式1_診断情報_続発症</v>
      </c>
      <c r="B107" s="144" t="str">
        <f>TEXT(1,"00")</f>
        <v>01</v>
      </c>
      <c r="C107" s="145"/>
      <c r="D107" s="145"/>
      <c r="E107" s="145"/>
      <c r="F107" s="146"/>
      <c r="G107" s="141" t="s">
        <v>197</v>
      </c>
      <c r="H107" s="142"/>
      <c r="I107" s="142"/>
      <c r="J107" s="142"/>
      <c r="K107" s="142"/>
      <c r="L107" s="142"/>
      <c r="M107" s="142"/>
      <c r="N107" s="143"/>
      <c r="O107" s="81" t="s">
        <v>3137</v>
      </c>
      <c r="P107" s="134" t="s">
        <v>316</v>
      </c>
      <c r="Q107" s="135"/>
      <c r="R107" s="135"/>
      <c r="S107" s="135"/>
      <c r="T107" s="135"/>
      <c r="U107" s="135"/>
      <c r="V107" s="135"/>
      <c r="W107" s="135"/>
      <c r="X107" s="135"/>
      <c r="Y107" s="135"/>
      <c r="Z107" s="135"/>
      <c r="AA107" s="135"/>
      <c r="AB107" s="135"/>
      <c r="AC107" s="135"/>
      <c r="AD107" s="136"/>
      <c r="AE107" s="137" t="str">
        <f t="shared" ref="AE107" ca="1" si="61">IFERROR(INDIRECT(P107&amp;"!D8"),"")</f>
        <v>azn_202310_backup_merge_dpc_ff1_a006050</v>
      </c>
      <c r="AF107" s="138"/>
      <c r="AG107" s="138"/>
      <c r="AH107" s="138"/>
      <c r="AI107" s="138"/>
      <c r="AJ107" s="138"/>
      <c r="AK107" s="138"/>
      <c r="AL107" s="139"/>
      <c r="AM107" s="137" t="str">
        <f t="shared" ref="AM107" ca="1" si="62">IFERROR(INDIRECT(P107&amp;"!D9"),"")</f>
        <v>DPC調査データ_様式1_診断情報_続発症テーブルから組入れ条件の第一条件で絞り込んだ結果を格納するテーブル</v>
      </c>
      <c r="AN107" s="138"/>
      <c r="AO107" s="138"/>
      <c r="AP107" s="138"/>
      <c r="AQ107" s="138"/>
      <c r="AR107" s="138"/>
      <c r="AS107" s="138"/>
      <c r="AT107" s="138"/>
      <c r="AU107" s="138"/>
      <c r="AV107" s="138"/>
      <c r="AW107" s="138"/>
      <c r="AX107" s="138"/>
      <c r="AY107" s="138"/>
      <c r="AZ107" s="138"/>
      <c r="BA107" s="138"/>
      <c r="BB107" s="138"/>
      <c r="BC107" s="138"/>
      <c r="BD107" s="138"/>
      <c r="BE107" s="138"/>
      <c r="BF107" s="138"/>
      <c r="BG107" s="138"/>
      <c r="BH107" s="138"/>
      <c r="BI107" s="138"/>
      <c r="BJ107" s="140"/>
      <c r="BK107" s="32" t="str">
        <f t="shared" si="59"/>
        <v>ENT_01_C1-08_バックアップ_DPC調査データ_様式1_診断情報_続発症.sql</v>
      </c>
      <c r="BL107" s="32">
        <v>1</v>
      </c>
    </row>
    <row r="108" spans="1:64" ht="37.5" hidden="1" customHeight="1" outlineLevel="1">
      <c r="A108" s="34" t="str">
        <f t="shared" si="56"/>
        <v>バックアップ_医科レセプト_医療機関情報レコード</v>
      </c>
      <c r="B108" s="144" t="str">
        <f t="shared" ref="B108:B112" si="63">TEXT(1,"00")</f>
        <v>01</v>
      </c>
      <c r="C108" s="145"/>
      <c r="D108" s="145"/>
      <c r="E108" s="145"/>
      <c r="F108" s="146"/>
      <c r="G108" s="141" t="s">
        <v>197</v>
      </c>
      <c r="H108" s="142"/>
      <c r="I108" s="142"/>
      <c r="J108" s="142"/>
      <c r="K108" s="142"/>
      <c r="L108" s="142"/>
      <c r="M108" s="142"/>
      <c r="N108" s="143"/>
      <c r="O108" s="81" t="s">
        <v>3138</v>
      </c>
      <c r="P108" s="134" t="s">
        <v>948</v>
      </c>
      <c r="Q108" s="135"/>
      <c r="R108" s="135"/>
      <c r="S108" s="135"/>
      <c r="T108" s="135"/>
      <c r="U108" s="135"/>
      <c r="V108" s="135"/>
      <c r="W108" s="135"/>
      <c r="X108" s="135"/>
      <c r="Y108" s="135"/>
      <c r="Z108" s="135"/>
      <c r="AA108" s="135"/>
      <c r="AB108" s="135"/>
      <c r="AC108" s="135"/>
      <c r="AD108" s="136"/>
      <c r="AE108" s="137" t="str">
        <f t="shared" ref="AE108:AE146" ca="1" si="64">IFERROR(INDIRECT(P108&amp;"!D8"),"")</f>
        <v>azn_202310_backup_merge_receiptc_ir</v>
      </c>
      <c r="AF108" s="138"/>
      <c r="AG108" s="138"/>
      <c r="AH108" s="138"/>
      <c r="AI108" s="138"/>
      <c r="AJ108" s="138"/>
      <c r="AK108" s="138"/>
      <c r="AL108" s="139"/>
      <c r="AM108" s="137" t="str">
        <f t="shared" ref="AM108:AM146" ca="1" si="65">IFERROR(INDIRECT(P108&amp;"!D9"),"")</f>
        <v>医科レセプト_医療機関情報レコードテーブルから組入れ条件の第一条件で絞り込んだ結果を格納するテーブル</v>
      </c>
      <c r="AN108" s="138"/>
      <c r="AO108" s="138"/>
      <c r="AP108" s="138"/>
      <c r="AQ108" s="138"/>
      <c r="AR108" s="138"/>
      <c r="AS108" s="138"/>
      <c r="AT108" s="138"/>
      <c r="AU108" s="138"/>
      <c r="AV108" s="138"/>
      <c r="AW108" s="138"/>
      <c r="AX108" s="138"/>
      <c r="AY108" s="138"/>
      <c r="AZ108" s="138"/>
      <c r="BA108" s="138"/>
      <c r="BB108" s="138"/>
      <c r="BC108" s="138"/>
      <c r="BD108" s="138"/>
      <c r="BE108" s="138"/>
      <c r="BF108" s="138"/>
      <c r="BG108" s="138"/>
      <c r="BH108" s="138"/>
      <c r="BI108" s="138"/>
      <c r="BJ108" s="140"/>
      <c r="BK108" s="32" t="str">
        <f t="shared" si="59"/>
        <v>ENT_01_C2-01_バックアップ_医科レセプト_医療機関情報レコード.sql</v>
      </c>
    </row>
    <row r="109" spans="1:64" ht="37.5" hidden="1" customHeight="1" outlineLevel="1">
      <c r="A109" s="34" t="str">
        <f t="shared" si="56"/>
        <v>バックアップ_医科レセプト_レセプト共通レコード</v>
      </c>
      <c r="B109" s="144" t="str">
        <f t="shared" si="63"/>
        <v>01</v>
      </c>
      <c r="C109" s="145"/>
      <c r="D109" s="145"/>
      <c r="E109" s="145"/>
      <c r="F109" s="146"/>
      <c r="G109" s="141" t="s">
        <v>197</v>
      </c>
      <c r="H109" s="142"/>
      <c r="I109" s="142"/>
      <c r="J109" s="142"/>
      <c r="K109" s="142"/>
      <c r="L109" s="142"/>
      <c r="M109" s="142"/>
      <c r="N109" s="143"/>
      <c r="O109" s="81" t="s">
        <v>3139</v>
      </c>
      <c r="P109" s="134" t="s">
        <v>983</v>
      </c>
      <c r="Q109" s="135"/>
      <c r="R109" s="135"/>
      <c r="S109" s="135"/>
      <c r="T109" s="135"/>
      <c r="U109" s="135"/>
      <c r="V109" s="135"/>
      <c r="W109" s="135"/>
      <c r="X109" s="135"/>
      <c r="Y109" s="135"/>
      <c r="Z109" s="135"/>
      <c r="AA109" s="135"/>
      <c r="AB109" s="135"/>
      <c r="AC109" s="135"/>
      <c r="AD109" s="136"/>
      <c r="AE109" s="137" t="str">
        <f t="shared" ca="1" si="64"/>
        <v>azn_202310_backup_merge_receiptc_re</v>
      </c>
      <c r="AF109" s="138"/>
      <c r="AG109" s="138"/>
      <c r="AH109" s="138"/>
      <c r="AI109" s="138"/>
      <c r="AJ109" s="138"/>
      <c r="AK109" s="138"/>
      <c r="AL109" s="139"/>
      <c r="AM109" s="137" t="str">
        <f t="shared" ca="1" si="65"/>
        <v>医科レセプト_レセプト共通レコードテーブルから組入れ条件の第一条件で絞り込んだ結果を格納するテーブル</v>
      </c>
      <c r="AN109" s="138"/>
      <c r="AO109" s="138"/>
      <c r="AP109" s="138"/>
      <c r="AQ109" s="138"/>
      <c r="AR109" s="138"/>
      <c r="AS109" s="138"/>
      <c r="AT109" s="138"/>
      <c r="AU109" s="138"/>
      <c r="AV109" s="138"/>
      <c r="AW109" s="138"/>
      <c r="AX109" s="138"/>
      <c r="AY109" s="138"/>
      <c r="AZ109" s="138"/>
      <c r="BA109" s="138"/>
      <c r="BB109" s="138"/>
      <c r="BC109" s="138"/>
      <c r="BD109" s="138"/>
      <c r="BE109" s="138"/>
      <c r="BF109" s="138"/>
      <c r="BG109" s="138"/>
      <c r="BH109" s="138"/>
      <c r="BI109" s="138"/>
      <c r="BJ109" s="140"/>
      <c r="BK109" s="32" t="str">
        <f t="shared" si="59"/>
        <v>ENT_01_C2-02_バックアップ_医科レセプト_レセプト共通レコード.sql</v>
      </c>
    </row>
    <row r="110" spans="1:64" ht="37.5" hidden="1" customHeight="1" outlineLevel="1">
      <c r="A110" s="34" t="str">
        <f t="shared" si="56"/>
        <v>バックアップ_医科レセプト_傷病名レコード</v>
      </c>
      <c r="B110" s="144" t="str">
        <f t="shared" si="63"/>
        <v>01</v>
      </c>
      <c r="C110" s="145"/>
      <c r="D110" s="145"/>
      <c r="E110" s="145"/>
      <c r="F110" s="146"/>
      <c r="G110" s="141" t="s">
        <v>197</v>
      </c>
      <c r="H110" s="142"/>
      <c r="I110" s="142"/>
      <c r="J110" s="142"/>
      <c r="K110" s="142"/>
      <c r="L110" s="142"/>
      <c r="M110" s="142"/>
      <c r="N110" s="143"/>
      <c r="O110" s="81" t="s">
        <v>3140</v>
      </c>
      <c r="P110" s="134" t="s">
        <v>1115</v>
      </c>
      <c r="Q110" s="135"/>
      <c r="R110" s="135"/>
      <c r="S110" s="135"/>
      <c r="T110" s="135"/>
      <c r="U110" s="135"/>
      <c r="V110" s="135"/>
      <c r="W110" s="135"/>
      <c r="X110" s="135"/>
      <c r="Y110" s="135"/>
      <c r="Z110" s="135"/>
      <c r="AA110" s="135"/>
      <c r="AB110" s="135"/>
      <c r="AC110" s="135"/>
      <c r="AD110" s="136"/>
      <c r="AE110" s="137" t="str">
        <f t="shared" ca="1" si="64"/>
        <v>azn_202310_backup_merge_receiptc_sy</v>
      </c>
      <c r="AF110" s="138"/>
      <c r="AG110" s="138"/>
      <c r="AH110" s="138"/>
      <c r="AI110" s="138"/>
      <c r="AJ110" s="138"/>
      <c r="AK110" s="138"/>
      <c r="AL110" s="139"/>
      <c r="AM110" s="137" t="str">
        <f t="shared" ca="1" si="65"/>
        <v>医科レセプト_傷病名レコードテーブルから組入れ条件の第一条件で絞り込んだ結果を格納するテーブル</v>
      </c>
      <c r="AN110" s="138"/>
      <c r="AO110" s="138"/>
      <c r="AP110" s="138"/>
      <c r="AQ110" s="138"/>
      <c r="AR110" s="138"/>
      <c r="AS110" s="138"/>
      <c r="AT110" s="138"/>
      <c r="AU110" s="138"/>
      <c r="AV110" s="138"/>
      <c r="AW110" s="138"/>
      <c r="AX110" s="138"/>
      <c r="AY110" s="138"/>
      <c r="AZ110" s="138"/>
      <c r="BA110" s="138"/>
      <c r="BB110" s="138"/>
      <c r="BC110" s="138"/>
      <c r="BD110" s="138"/>
      <c r="BE110" s="138"/>
      <c r="BF110" s="138"/>
      <c r="BG110" s="138"/>
      <c r="BH110" s="138"/>
      <c r="BI110" s="138"/>
      <c r="BJ110" s="140"/>
      <c r="BK110" s="32" t="str">
        <f t="shared" si="59"/>
        <v>ENT_01_C2-06_バックアップ_医科レセプト_傷病名レコード.sql</v>
      </c>
    </row>
    <row r="111" spans="1:64" ht="37.5" hidden="1" customHeight="1" outlineLevel="1">
      <c r="A111" s="34" t="str">
        <f t="shared" si="56"/>
        <v>バックアップ_医科レセプト_診療行為レコード</v>
      </c>
      <c r="B111" s="144" t="str">
        <f t="shared" si="63"/>
        <v>01</v>
      </c>
      <c r="C111" s="145"/>
      <c r="D111" s="145"/>
      <c r="E111" s="145"/>
      <c r="F111" s="146"/>
      <c r="G111" s="141" t="s">
        <v>197</v>
      </c>
      <c r="H111" s="142"/>
      <c r="I111" s="142"/>
      <c r="J111" s="142"/>
      <c r="K111" s="142"/>
      <c r="L111" s="142"/>
      <c r="M111" s="142"/>
      <c r="N111" s="143"/>
      <c r="O111" s="81" t="s">
        <v>3141</v>
      </c>
      <c r="P111" s="134" t="s">
        <v>1164</v>
      </c>
      <c r="Q111" s="135"/>
      <c r="R111" s="135"/>
      <c r="S111" s="135"/>
      <c r="T111" s="135"/>
      <c r="U111" s="135"/>
      <c r="V111" s="135"/>
      <c r="W111" s="135"/>
      <c r="X111" s="135"/>
      <c r="Y111" s="135"/>
      <c r="Z111" s="135"/>
      <c r="AA111" s="135"/>
      <c r="AB111" s="135"/>
      <c r="AC111" s="135"/>
      <c r="AD111" s="136"/>
      <c r="AE111" s="137" t="str">
        <f t="shared" ca="1" si="64"/>
        <v>azn_202310_backup_merge_receiptc_si</v>
      </c>
      <c r="AF111" s="138"/>
      <c r="AG111" s="138"/>
      <c r="AH111" s="138"/>
      <c r="AI111" s="138"/>
      <c r="AJ111" s="138"/>
      <c r="AK111" s="138"/>
      <c r="AL111" s="139"/>
      <c r="AM111" s="137" t="str">
        <f t="shared" ca="1" si="65"/>
        <v>医科レセプト_診療行為レコードテーブルから組入れ条件の第一条件で絞り込んだ結果を格納するテーブル</v>
      </c>
      <c r="AN111" s="138"/>
      <c r="AO111" s="138"/>
      <c r="AP111" s="138"/>
      <c r="AQ111" s="138"/>
      <c r="AR111" s="138"/>
      <c r="AS111" s="138"/>
      <c r="AT111" s="138"/>
      <c r="AU111" s="138"/>
      <c r="AV111" s="138"/>
      <c r="AW111" s="138"/>
      <c r="AX111" s="138"/>
      <c r="AY111" s="138"/>
      <c r="AZ111" s="138"/>
      <c r="BA111" s="138"/>
      <c r="BB111" s="138"/>
      <c r="BC111" s="138"/>
      <c r="BD111" s="138"/>
      <c r="BE111" s="138"/>
      <c r="BF111" s="138"/>
      <c r="BG111" s="138"/>
      <c r="BH111" s="138"/>
      <c r="BI111" s="138"/>
      <c r="BJ111" s="140"/>
      <c r="BK111" s="32" t="str">
        <f t="shared" si="59"/>
        <v>ENT_01_C2-07_バックアップ_医科レセプト_診療行為レコード.sql</v>
      </c>
    </row>
    <row r="112" spans="1:64" ht="37.5" hidden="1" customHeight="1" outlineLevel="1">
      <c r="A112" s="34" t="str">
        <f t="shared" si="56"/>
        <v>バックアップ_医科レセプト_診療行為レコード_算定日情報</v>
      </c>
      <c r="B112" s="144" t="str">
        <f t="shared" si="63"/>
        <v>01</v>
      </c>
      <c r="C112" s="145"/>
      <c r="D112" s="145"/>
      <c r="E112" s="145"/>
      <c r="F112" s="146"/>
      <c r="G112" s="141" t="s">
        <v>197</v>
      </c>
      <c r="H112" s="142"/>
      <c r="I112" s="142"/>
      <c r="J112" s="142"/>
      <c r="K112" s="142"/>
      <c r="L112" s="142"/>
      <c r="M112" s="142"/>
      <c r="N112" s="143"/>
      <c r="O112" s="81" t="s">
        <v>3142</v>
      </c>
      <c r="P112" s="134" t="s">
        <v>1192</v>
      </c>
      <c r="Q112" s="135"/>
      <c r="R112" s="135"/>
      <c r="S112" s="135"/>
      <c r="T112" s="135"/>
      <c r="U112" s="135"/>
      <c r="V112" s="135"/>
      <c r="W112" s="135"/>
      <c r="X112" s="135"/>
      <c r="Y112" s="135"/>
      <c r="Z112" s="135"/>
      <c r="AA112" s="135"/>
      <c r="AB112" s="135"/>
      <c r="AC112" s="135"/>
      <c r="AD112" s="136"/>
      <c r="AE112" s="137" t="str">
        <f t="shared" ca="1" si="64"/>
        <v>azn_202310_backup_merge_receiptc_si_day</v>
      </c>
      <c r="AF112" s="138"/>
      <c r="AG112" s="138"/>
      <c r="AH112" s="138"/>
      <c r="AI112" s="138"/>
      <c r="AJ112" s="138"/>
      <c r="AK112" s="138"/>
      <c r="AL112" s="139"/>
      <c r="AM112" s="137" t="str">
        <f t="shared" ca="1" si="65"/>
        <v>医科レセプト_診療行為レコード_算定日情報テーブルから組入れ条件の第一条件で絞り込んだ結果を格納するテーブル</v>
      </c>
      <c r="AN112" s="138"/>
      <c r="AO112" s="138"/>
      <c r="AP112" s="138"/>
      <c r="AQ112" s="138"/>
      <c r="AR112" s="138"/>
      <c r="AS112" s="138"/>
      <c r="AT112" s="138"/>
      <c r="AU112" s="138"/>
      <c r="AV112" s="138"/>
      <c r="AW112" s="138"/>
      <c r="AX112" s="138"/>
      <c r="AY112" s="138"/>
      <c r="AZ112" s="138"/>
      <c r="BA112" s="138"/>
      <c r="BB112" s="138"/>
      <c r="BC112" s="138"/>
      <c r="BD112" s="138"/>
      <c r="BE112" s="138"/>
      <c r="BF112" s="138"/>
      <c r="BG112" s="138"/>
      <c r="BH112" s="138"/>
      <c r="BI112" s="138"/>
      <c r="BJ112" s="140"/>
      <c r="BK112" s="32" t="str">
        <f t="shared" si="59"/>
        <v>ENT_01_C2-08_バックアップ_医科レセプト_診療行為レコード_算定日情報.sql</v>
      </c>
    </row>
    <row r="113" spans="1:64" ht="37.5" hidden="1" customHeight="1" outlineLevel="1">
      <c r="A113" s="34" t="str">
        <f t="shared" si="56"/>
        <v>バックアップ_医科レセプト_医薬品レコード</v>
      </c>
      <c r="B113" s="144" t="str">
        <f t="shared" si="8"/>
        <v>01</v>
      </c>
      <c r="C113" s="145"/>
      <c r="D113" s="145"/>
      <c r="E113" s="145"/>
      <c r="F113" s="146"/>
      <c r="G113" s="141" t="s">
        <v>197</v>
      </c>
      <c r="H113" s="142"/>
      <c r="I113" s="142"/>
      <c r="J113" s="142"/>
      <c r="K113" s="142"/>
      <c r="L113" s="142"/>
      <c r="M113" s="142"/>
      <c r="N113" s="143"/>
      <c r="O113" s="81" t="s">
        <v>3143</v>
      </c>
      <c r="P113" s="134" t="s">
        <v>1198</v>
      </c>
      <c r="Q113" s="135"/>
      <c r="R113" s="135"/>
      <c r="S113" s="135"/>
      <c r="T113" s="135"/>
      <c r="U113" s="135"/>
      <c r="V113" s="135"/>
      <c r="W113" s="135"/>
      <c r="X113" s="135"/>
      <c r="Y113" s="135"/>
      <c r="Z113" s="135"/>
      <c r="AA113" s="135"/>
      <c r="AB113" s="135"/>
      <c r="AC113" s="135"/>
      <c r="AD113" s="136"/>
      <c r="AE113" s="137" t="str">
        <f t="shared" ca="1" si="64"/>
        <v>azn_202310_backup_merge_receiptc_iy</v>
      </c>
      <c r="AF113" s="138"/>
      <c r="AG113" s="138"/>
      <c r="AH113" s="138"/>
      <c r="AI113" s="138"/>
      <c r="AJ113" s="138"/>
      <c r="AK113" s="138"/>
      <c r="AL113" s="139"/>
      <c r="AM113" s="137" t="str">
        <f t="shared" ca="1" si="65"/>
        <v>医科レセプト_医薬品レコードテーブルから組入れ条件の第一条件で絞り込んだ結果を格納するテーブル</v>
      </c>
      <c r="AN113" s="138"/>
      <c r="AO113" s="138"/>
      <c r="AP113" s="138"/>
      <c r="AQ113" s="138"/>
      <c r="AR113" s="138"/>
      <c r="AS113" s="138"/>
      <c r="AT113" s="138"/>
      <c r="AU113" s="138"/>
      <c r="AV113" s="138"/>
      <c r="AW113" s="138"/>
      <c r="AX113" s="138"/>
      <c r="AY113" s="138"/>
      <c r="AZ113" s="138"/>
      <c r="BA113" s="138"/>
      <c r="BB113" s="138"/>
      <c r="BC113" s="138"/>
      <c r="BD113" s="138"/>
      <c r="BE113" s="138"/>
      <c r="BF113" s="138"/>
      <c r="BG113" s="138"/>
      <c r="BH113" s="138"/>
      <c r="BI113" s="138"/>
      <c r="BJ113" s="140"/>
      <c r="BK113" s="32" t="str">
        <f t="shared" si="59"/>
        <v>ENT_01_C2-09_バックアップ_医科レセプト_医薬品レコード.sql</v>
      </c>
    </row>
    <row r="114" spans="1:64" ht="37.5" hidden="1" customHeight="1" outlineLevel="1">
      <c r="A114" s="34" t="str">
        <f t="shared" si="56"/>
        <v>バックアップ_医科レセプト_医薬品レコード_算定日情報</v>
      </c>
      <c r="B114" s="144" t="str">
        <f t="shared" si="8"/>
        <v>01</v>
      </c>
      <c r="C114" s="145"/>
      <c r="D114" s="145"/>
      <c r="E114" s="145"/>
      <c r="F114" s="146"/>
      <c r="G114" s="141" t="s">
        <v>197</v>
      </c>
      <c r="H114" s="142"/>
      <c r="I114" s="142"/>
      <c r="J114" s="142"/>
      <c r="K114" s="142"/>
      <c r="L114" s="142"/>
      <c r="M114" s="142"/>
      <c r="N114" s="143"/>
      <c r="O114" s="81" t="s">
        <v>3144</v>
      </c>
      <c r="P114" s="134" t="s">
        <v>1199</v>
      </c>
      <c r="Q114" s="135"/>
      <c r="R114" s="135"/>
      <c r="S114" s="135"/>
      <c r="T114" s="135"/>
      <c r="U114" s="135"/>
      <c r="V114" s="135"/>
      <c r="W114" s="135"/>
      <c r="X114" s="135"/>
      <c r="Y114" s="135"/>
      <c r="Z114" s="135"/>
      <c r="AA114" s="135"/>
      <c r="AB114" s="135"/>
      <c r="AC114" s="135"/>
      <c r="AD114" s="136"/>
      <c r="AE114" s="137" t="str">
        <f t="shared" ca="1" si="64"/>
        <v>azn_202310_backup_merge_receiptc_iy_day</v>
      </c>
      <c r="AF114" s="138"/>
      <c r="AG114" s="138"/>
      <c r="AH114" s="138"/>
      <c r="AI114" s="138"/>
      <c r="AJ114" s="138"/>
      <c r="AK114" s="138"/>
      <c r="AL114" s="139"/>
      <c r="AM114" s="137" t="str">
        <f t="shared" ca="1" si="65"/>
        <v>医科レセプト_医薬品レコード_算定日情報テーブルから組入れ条件の第一条件で絞り込んだ結果を格納するテーブル</v>
      </c>
      <c r="AN114" s="138"/>
      <c r="AO114" s="138"/>
      <c r="AP114" s="138"/>
      <c r="AQ114" s="138"/>
      <c r="AR114" s="138"/>
      <c r="AS114" s="138"/>
      <c r="AT114" s="138"/>
      <c r="AU114" s="138"/>
      <c r="AV114" s="138"/>
      <c r="AW114" s="138"/>
      <c r="AX114" s="138"/>
      <c r="AY114" s="138"/>
      <c r="AZ114" s="138"/>
      <c r="BA114" s="138"/>
      <c r="BB114" s="138"/>
      <c r="BC114" s="138"/>
      <c r="BD114" s="138"/>
      <c r="BE114" s="138"/>
      <c r="BF114" s="138"/>
      <c r="BG114" s="138"/>
      <c r="BH114" s="138"/>
      <c r="BI114" s="138"/>
      <c r="BJ114" s="140"/>
      <c r="BK114" s="32" t="str">
        <f t="shared" si="59"/>
        <v>ENT_01_C2-10_バックアップ_医科レセプト_医薬品レコード_算定日情報.sql</v>
      </c>
    </row>
    <row r="115" spans="1:64" ht="37.5" hidden="1" customHeight="1" outlineLevel="1">
      <c r="A115" s="34" t="str">
        <f t="shared" si="56"/>
        <v>バックアップ_医科レセプト_臓器提供者レセプト情報レコード</v>
      </c>
      <c r="B115" s="144" t="str">
        <f t="shared" si="8"/>
        <v>01</v>
      </c>
      <c r="C115" s="145"/>
      <c r="D115" s="145"/>
      <c r="E115" s="145"/>
      <c r="F115" s="146"/>
      <c r="G115" s="141" t="s">
        <v>197</v>
      </c>
      <c r="H115" s="142"/>
      <c r="I115" s="142"/>
      <c r="J115" s="142"/>
      <c r="K115" s="142"/>
      <c r="L115" s="142"/>
      <c r="M115" s="142"/>
      <c r="N115" s="143"/>
      <c r="O115" s="81" t="s">
        <v>3145</v>
      </c>
      <c r="P115" s="134" t="s">
        <v>1200</v>
      </c>
      <c r="Q115" s="135"/>
      <c r="R115" s="135"/>
      <c r="S115" s="135"/>
      <c r="T115" s="135"/>
      <c r="U115" s="135"/>
      <c r="V115" s="135"/>
      <c r="W115" s="135"/>
      <c r="X115" s="135"/>
      <c r="Y115" s="135"/>
      <c r="Z115" s="135"/>
      <c r="AA115" s="135"/>
      <c r="AB115" s="135"/>
      <c r="AC115" s="135"/>
      <c r="AD115" s="136"/>
      <c r="AE115" s="137" t="str">
        <f t="shared" ca="1" si="64"/>
        <v>azn_202310_backup_merge_receiptc_tr</v>
      </c>
      <c r="AF115" s="138"/>
      <c r="AG115" s="138"/>
      <c r="AH115" s="138"/>
      <c r="AI115" s="138"/>
      <c r="AJ115" s="138"/>
      <c r="AK115" s="138"/>
      <c r="AL115" s="139"/>
      <c r="AM115" s="137" t="str">
        <f t="shared" ca="1" si="65"/>
        <v>医科レセプト_臓器提供者レセプト情報レコードテーブルから組入れ条件の第一条件で絞り込んだ結果を格納するテーブル</v>
      </c>
      <c r="AN115" s="138"/>
      <c r="AO115" s="138"/>
      <c r="AP115" s="138"/>
      <c r="AQ115" s="138"/>
      <c r="AR115" s="138"/>
      <c r="AS115" s="138"/>
      <c r="AT115" s="138"/>
      <c r="AU115" s="138"/>
      <c r="AV115" s="138"/>
      <c r="AW115" s="138"/>
      <c r="AX115" s="138"/>
      <c r="AY115" s="138"/>
      <c r="AZ115" s="138"/>
      <c r="BA115" s="138"/>
      <c r="BB115" s="138"/>
      <c r="BC115" s="138"/>
      <c r="BD115" s="138"/>
      <c r="BE115" s="138"/>
      <c r="BF115" s="138"/>
      <c r="BG115" s="138"/>
      <c r="BH115" s="138"/>
      <c r="BI115" s="138"/>
      <c r="BJ115" s="140"/>
      <c r="BK115" s="32" t="str">
        <f t="shared" si="59"/>
        <v>ENT_01_C2-16_バックアップ_医科レセプト_臓器提供者レセプト情報レコード.sql</v>
      </c>
    </row>
    <row r="116" spans="1:64" ht="37.5" hidden="1" customHeight="1" outlineLevel="1">
      <c r="A116" s="34" t="str">
        <f t="shared" ref="A116:A124" si="66">P116</f>
        <v>バックアップ_DPCレセプト_医療機関情報レコード</v>
      </c>
      <c r="B116" s="144" t="str">
        <f t="shared" si="8"/>
        <v>01</v>
      </c>
      <c r="C116" s="145"/>
      <c r="D116" s="145"/>
      <c r="E116" s="145"/>
      <c r="F116" s="146"/>
      <c r="G116" s="141" t="s">
        <v>197</v>
      </c>
      <c r="H116" s="142"/>
      <c r="I116" s="142"/>
      <c r="J116" s="142"/>
      <c r="K116" s="142"/>
      <c r="L116" s="142"/>
      <c r="M116" s="142"/>
      <c r="N116" s="143"/>
      <c r="O116" s="81" t="s">
        <v>3146</v>
      </c>
      <c r="P116" s="134" t="s">
        <v>1241</v>
      </c>
      <c r="Q116" s="135"/>
      <c r="R116" s="135"/>
      <c r="S116" s="135"/>
      <c r="T116" s="135"/>
      <c r="U116" s="135"/>
      <c r="V116" s="135"/>
      <c r="W116" s="135"/>
      <c r="X116" s="135"/>
      <c r="Y116" s="135"/>
      <c r="Z116" s="135"/>
      <c r="AA116" s="135"/>
      <c r="AB116" s="135"/>
      <c r="AC116" s="135"/>
      <c r="AD116" s="136"/>
      <c r="AE116" s="137" t="str">
        <f t="shared" ref="AE116:AE124" ca="1" si="67">IFERROR(INDIRECT(P116&amp;"!D8"),"")</f>
        <v>azn_202310_backup_merge_receiptd_ir</v>
      </c>
      <c r="AF116" s="138"/>
      <c r="AG116" s="138"/>
      <c r="AH116" s="138"/>
      <c r="AI116" s="138"/>
      <c r="AJ116" s="138"/>
      <c r="AK116" s="138"/>
      <c r="AL116" s="139"/>
      <c r="AM116" s="137" t="str">
        <f t="shared" ref="AM116:AM124" ca="1" si="68">IFERROR(INDIRECT(P116&amp;"!D9"),"")</f>
        <v>DPCレセプト_医療機関情報レコードテーブルから組入れ条件の第一条件で絞り込んだ結果を格納するテーブル</v>
      </c>
      <c r="AN116" s="138"/>
      <c r="AO116" s="138"/>
      <c r="AP116" s="138"/>
      <c r="AQ116" s="138"/>
      <c r="AR116" s="138"/>
      <c r="AS116" s="138"/>
      <c r="AT116" s="138"/>
      <c r="AU116" s="138"/>
      <c r="AV116" s="138"/>
      <c r="AW116" s="138"/>
      <c r="AX116" s="138"/>
      <c r="AY116" s="138"/>
      <c r="AZ116" s="138"/>
      <c r="BA116" s="138"/>
      <c r="BB116" s="138"/>
      <c r="BC116" s="138"/>
      <c r="BD116" s="138"/>
      <c r="BE116" s="138"/>
      <c r="BF116" s="138"/>
      <c r="BG116" s="138"/>
      <c r="BH116" s="138"/>
      <c r="BI116" s="138"/>
      <c r="BJ116" s="140"/>
      <c r="BK116" s="32" t="str">
        <f t="shared" si="59"/>
        <v>ENT_01_C3-01_バックアップ_DPCレセプト_医療機関情報レコード.sql</v>
      </c>
    </row>
    <row r="117" spans="1:64" ht="37.5" hidden="1" customHeight="1" outlineLevel="1">
      <c r="A117" s="34" t="str">
        <f t="shared" si="66"/>
        <v>バックアップ_DPCレセプト_レセプト共通レコード</v>
      </c>
      <c r="B117" s="144" t="str">
        <f t="shared" si="8"/>
        <v>01</v>
      </c>
      <c r="C117" s="145"/>
      <c r="D117" s="145"/>
      <c r="E117" s="145"/>
      <c r="F117" s="146"/>
      <c r="G117" s="141" t="s">
        <v>197</v>
      </c>
      <c r="H117" s="142"/>
      <c r="I117" s="142"/>
      <c r="J117" s="142"/>
      <c r="K117" s="142"/>
      <c r="L117" s="142"/>
      <c r="M117" s="142"/>
      <c r="N117" s="143"/>
      <c r="O117" s="81" t="s">
        <v>3147</v>
      </c>
      <c r="P117" s="134" t="s">
        <v>1246</v>
      </c>
      <c r="Q117" s="135"/>
      <c r="R117" s="135"/>
      <c r="S117" s="135"/>
      <c r="T117" s="135"/>
      <c r="U117" s="135"/>
      <c r="V117" s="135"/>
      <c r="W117" s="135"/>
      <c r="X117" s="135"/>
      <c r="Y117" s="135"/>
      <c r="Z117" s="135"/>
      <c r="AA117" s="135"/>
      <c r="AB117" s="135"/>
      <c r="AC117" s="135"/>
      <c r="AD117" s="136"/>
      <c r="AE117" s="137" t="str">
        <f t="shared" ca="1" si="67"/>
        <v>azn_202310_backup_merge_receiptd_re</v>
      </c>
      <c r="AF117" s="138"/>
      <c r="AG117" s="138"/>
      <c r="AH117" s="138"/>
      <c r="AI117" s="138"/>
      <c r="AJ117" s="138"/>
      <c r="AK117" s="138"/>
      <c r="AL117" s="139"/>
      <c r="AM117" s="137" t="str">
        <f t="shared" ca="1" si="68"/>
        <v>DPCレセプト_レセプト共通レコードテーブルから組入れ条件の第一条件で絞り込んだ結果を格納するテーブル</v>
      </c>
      <c r="AN117" s="138"/>
      <c r="AO117" s="138"/>
      <c r="AP117" s="138"/>
      <c r="AQ117" s="138"/>
      <c r="AR117" s="138"/>
      <c r="AS117" s="138"/>
      <c r="AT117" s="138"/>
      <c r="AU117" s="138"/>
      <c r="AV117" s="138"/>
      <c r="AW117" s="138"/>
      <c r="AX117" s="138"/>
      <c r="AY117" s="138"/>
      <c r="AZ117" s="138"/>
      <c r="BA117" s="138"/>
      <c r="BB117" s="138"/>
      <c r="BC117" s="138"/>
      <c r="BD117" s="138"/>
      <c r="BE117" s="138"/>
      <c r="BF117" s="138"/>
      <c r="BG117" s="138"/>
      <c r="BH117" s="138"/>
      <c r="BI117" s="138"/>
      <c r="BJ117" s="140"/>
      <c r="BK117" s="32" t="str">
        <f t="shared" si="59"/>
        <v>ENT_01_C3-02_バックアップ_DPCレセプト_レセプト共通レコード.sql</v>
      </c>
    </row>
    <row r="118" spans="1:64" ht="37.5" hidden="1" customHeight="1" outlineLevel="1">
      <c r="A118" s="34" t="str">
        <f t="shared" si="66"/>
        <v>バックアップ_DPCレセプト_診断群分類レコード</v>
      </c>
      <c r="B118" s="144" t="str">
        <f t="shared" si="8"/>
        <v>01</v>
      </c>
      <c r="C118" s="145"/>
      <c r="D118" s="145"/>
      <c r="E118" s="145"/>
      <c r="F118" s="146"/>
      <c r="G118" s="141" t="s">
        <v>197</v>
      </c>
      <c r="H118" s="142"/>
      <c r="I118" s="142"/>
      <c r="J118" s="142"/>
      <c r="K118" s="142"/>
      <c r="L118" s="142"/>
      <c r="M118" s="142"/>
      <c r="N118" s="143"/>
      <c r="O118" s="81" t="s">
        <v>3148</v>
      </c>
      <c r="P118" s="134" t="s">
        <v>1251</v>
      </c>
      <c r="Q118" s="135"/>
      <c r="R118" s="135"/>
      <c r="S118" s="135"/>
      <c r="T118" s="135"/>
      <c r="U118" s="135"/>
      <c r="V118" s="135"/>
      <c r="W118" s="135"/>
      <c r="X118" s="135"/>
      <c r="Y118" s="135"/>
      <c r="Z118" s="135"/>
      <c r="AA118" s="135"/>
      <c r="AB118" s="135"/>
      <c r="AC118" s="135"/>
      <c r="AD118" s="136"/>
      <c r="AE118" s="137" t="str">
        <f t="shared" ca="1" si="67"/>
        <v>azn_202310_backup_merge_receiptd_bu</v>
      </c>
      <c r="AF118" s="138"/>
      <c r="AG118" s="138"/>
      <c r="AH118" s="138"/>
      <c r="AI118" s="138"/>
      <c r="AJ118" s="138"/>
      <c r="AK118" s="138"/>
      <c r="AL118" s="139"/>
      <c r="AM118" s="137" t="str">
        <f t="shared" ca="1" si="68"/>
        <v>DPCレセプト_診断群分類レコードテーブルから組入れ条件の第一条件で絞り込んだ結果を格納するテーブル</v>
      </c>
      <c r="AN118" s="138"/>
      <c r="AO118" s="138"/>
      <c r="AP118" s="138"/>
      <c r="AQ118" s="138"/>
      <c r="AR118" s="138"/>
      <c r="AS118" s="138"/>
      <c r="AT118" s="138"/>
      <c r="AU118" s="138"/>
      <c r="AV118" s="138"/>
      <c r="AW118" s="138"/>
      <c r="AX118" s="138"/>
      <c r="AY118" s="138"/>
      <c r="AZ118" s="138"/>
      <c r="BA118" s="138"/>
      <c r="BB118" s="138"/>
      <c r="BC118" s="138"/>
      <c r="BD118" s="138"/>
      <c r="BE118" s="138"/>
      <c r="BF118" s="138"/>
      <c r="BG118" s="138"/>
      <c r="BH118" s="138"/>
      <c r="BI118" s="138"/>
      <c r="BJ118" s="140"/>
      <c r="BK118" s="32" t="str">
        <f t="shared" si="59"/>
        <v>ENT_01_C3-08_バックアップ_DPCレセプト_診断群分類レコード.sql</v>
      </c>
    </row>
    <row r="119" spans="1:64" ht="37.5" hidden="1" customHeight="1" outlineLevel="1">
      <c r="A119" s="34" t="str">
        <f t="shared" si="66"/>
        <v>バックアップ_DPCレセプト_傷病レコード</v>
      </c>
      <c r="B119" s="144" t="str">
        <f t="shared" si="8"/>
        <v>01</v>
      </c>
      <c r="C119" s="145"/>
      <c r="D119" s="145"/>
      <c r="E119" s="145"/>
      <c r="F119" s="146"/>
      <c r="G119" s="141" t="s">
        <v>197</v>
      </c>
      <c r="H119" s="142"/>
      <c r="I119" s="142"/>
      <c r="J119" s="142"/>
      <c r="K119" s="142"/>
      <c r="L119" s="142"/>
      <c r="M119" s="142"/>
      <c r="N119" s="143"/>
      <c r="O119" s="81" t="s">
        <v>3149</v>
      </c>
      <c r="P119" s="134" t="s">
        <v>1266</v>
      </c>
      <c r="Q119" s="135"/>
      <c r="R119" s="135"/>
      <c r="S119" s="135"/>
      <c r="T119" s="135"/>
      <c r="U119" s="135"/>
      <c r="V119" s="135"/>
      <c r="W119" s="135"/>
      <c r="X119" s="135"/>
      <c r="Y119" s="135"/>
      <c r="Z119" s="135"/>
      <c r="AA119" s="135"/>
      <c r="AB119" s="135"/>
      <c r="AC119" s="135"/>
      <c r="AD119" s="136"/>
      <c r="AE119" s="137" t="str">
        <f t="shared" ca="1" si="67"/>
        <v>azn_202310_backup_merge_receiptd_sb</v>
      </c>
      <c r="AF119" s="138"/>
      <c r="AG119" s="138"/>
      <c r="AH119" s="138"/>
      <c r="AI119" s="138"/>
      <c r="AJ119" s="138"/>
      <c r="AK119" s="138"/>
      <c r="AL119" s="139"/>
      <c r="AM119" s="137" t="str">
        <f t="shared" ca="1" si="68"/>
        <v>DPCレセプト_傷病レコードテーブルから組入れ条件の第一条件で絞り込んだ結果を格納するテーブル</v>
      </c>
      <c r="AN119" s="138"/>
      <c r="AO119" s="138"/>
      <c r="AP119" s="138"/>
      <c r="AQ119" s="138"/>
      <c r="AR119" s="138"/>
      <c r="AS119" s="138"/>
      <c r="AT119" s="138"/>
      <c r="AU119" s="138"/>
      <c r="AV119" s="138"/>
      <c r="AW119" s="138"/>
      <c r="AX119" s="138"/>
      <c r="AY119" s="138"/>
      <c r="AZ119" s="138"/>
      <c r="BA119" s="138"/>
      <c r="BB119" s="138"/>
      <c r="BC119" s="138"/>
      <c r="BD119" s="138"/>
      <c r="BE119" s="138"/>
      <c r="BF119" s="138"/>
      <c r="BG119" s="138"/>
      <c r="BH119" s="138"/>
      <c r="BI119" s="138"/>
      <c r="BJ119" s="140"/>
      <c r="BK119" s="32" t="str">
        <f t="shared" si="59"/>
        <v>ENT_01_C3-09_バックアップ_DPCレセプト_傷病レコード.sql</v>
      </c>
    </row>
    <row r="120" spans="1:64" ht="37.5" hidden="1" customHeight="1" outlineLevel="1">
      <c r="A120" s="34" t="str">
        <f t="shared" si="66"/>
        <v>バックアップ_DPCレセプト_傷病名レコード</v>
      </c>
      <c r="B120" s="144" t="str">
        <f t="shared" si="8"/>
        <v>01</v>
      </c>
      <c r="C120" s="145"/>
      <c r="D120" s="145"/>
      <c r="E120" s="145"/>
      <c r="F120" s="146"/>
      <c r="G120" s="141" t="s">
        <v>197</v>
      </c>
      <c r="H120" s="142"/>
      <c r="I120" s="142"/>
      <c r="J120" s="142"/>
      <c r="K120" s="142"/>
      <c r="L120" s="142"/>
      <c r="M120" s="142"/>
      <c r="N120" s="143"/>
      <c r="O120" s="81" t="s">
        <v>3150</v>
      </c>
      <c r="P120" s="134" t="s">
        <v>1272</v>
      </c>
      <c r="Q120" s="135"/>
      <c r="R120" s="135"/>
      <c r="S120" s="135"/>
      <c r="T120" s="135"/>
      <c r="U120" s="135"/>
      <c r="V120" s="135"/>
      <c r="W120" s="135"/>
      <c r="X120" s="135"/>
      <c r="Y120" s="135"/>
      <c r="Z120" s="135"/>
      <c r="AA120" s="135"/>
      <c r="AB120" s="135"/>
      <c r="AC120" s="135"/>
      <c r="AD120" s="136"/>
      <c r="AE120" s="137" t="str">
        <f t="shared" ca="1" si="67"/>
        <v>azn_202310_backup_merge_receiptd_sy</v>
      </c>
      <c r="AF120" s="138"/>
      <c r="AG120" s="138"/>
      <c r="AH120" s="138"/>
      <c r="AI120" s="138"/>
      <c r="AJ120" s="138"/>
      <c r="AK120" s="138"/>
      <c r="AL120" s="139"/>
      <c r="AM120" s="137" t="str">
        <f t="shared" ca="1" si="68"/>
        <v>DPCレセプト_傷病名レコードテーブルから組入れ条件の第一条件で絞り込んだ結果を格納するテーブル</v>
      </c>
      <c r="AN120" s="138"/>
      <c r="AO120" s="138"/>
      <c r="AP120" s="138"/>
      <c r="AQ120" s="138"/>
      <c r="AR120" s="138"/>
      <c r="AS120" s="138"/>
      <c r="AT120" s="138"/>
      <c r="AU120" s="138"/>
      <c r="AV120" s="138"/>
      <c r="AW120" s="138"/>
      <c r="AX120" s="138"/>
      <c r="AY120" s="138"/>
      <c r="AZ120" s="138"/>
      <c r="BA120" s="138"/>
      <c r="BB120" s="138"/>
      <c r="BC120" s="138"/>
      <c r="BD120" s="138"/>
      <c r="BE120" s="138"/>
      <c r="BF120" s="138"/>
      <c r="BG120" s="138"/>
      <c r="BH120" s="138"/>
      <c r="BI120" s="138"/>
      <c r="BJ120" s="140"/>
      <c r="BK120" s="32" t="str">
        <f t="shared" si="59"/>
        <v>ENT_01_C3-10_バックアップ_DPCレセプト_傷病名レコード.sql</v>
      </c>
    </row>
    <row r="121" spans="1:64" ht="37.5" hidden="1" customHeight="1" outlineLevel="1">
      <c r="A121" s="34" t="str">
        <f t="shared" si="66"/>
        <v>バックアップ_DPCレセプト_診療行為レコード</v>
      </c>
      <c r="B121" s="144" t="str">
        <f t="shared" si="8"/>
        <v>01</v>
      </c>
      <c r="C121" s="145"/>
      <c r="D121" s="145"/>
      <c r="E121" s="145"/>
      <c r="F121" s="146"/>
      <c r="G121" s="141" t="s">
        <v>197</v>
      </c>
      <c r="H121" s="142"/>
      <c r="I121" s="142"/>
      <c r="J121" s="142"/>
      <c r="K121" s="142"/>
      <c r="L121" s="142"/>
      <c r="M121" s="142"/>
      <c r="N121" s="143"/>
      <c r="O121" s="81" t="s">
        <v>3151</v>
      </c>
      <c r="P121" s="134" t="s">
        <v>1274</v>
      </c>
      <c r="Q121" s="135"/>
      <c r="R121" s="135"/>
      <c r="S121" s="135"/>
      <c r="T121" s="135"/>
      <c r="U121" s="135"/>
      <c r="V121" s="135"/>
      <c r="W121" s="135"/>
      <c r="X121" s="135"/>
      <c r="Y121" s="135"/>
      <c r="Z121" s="135"/>
      <c r="AA121" s="135"/>
      <c r="AB121" s="135"/>
      <c r="AC121" s="135"/>
      <c r="AD121" s="136"/>
      <c r="AE121" s="137" t="str">
        <f t="shared" ca="1" si="67"/>
        <v>azn_202310_backup_merge_receiptd_si</v>
      </c>
      <c r="AF121" s="138"/>
      <c r="AG121" s="138"/>
      <c r="AH121" s="138"/>
      <c r="AI121" s="138"/>
      <c r="AJ121" s="138"/>
      <c r="AK121" s="138"/>
      <c r="AL121" s="139"/>
      <c r="AM121" s="137" t="str">
        <f t="shared" ca="1" si="68"/>
        <v>DPCレセプト_診療行為レコードテーブルから組入れ条件の第一条件で絞り込んだ結果を格納するテーブル</v>
      </c>
      <c r="AN121" s="138"/>
      <c r="AO121" s="138"/>
      <c r="AP121" s="138"/>
      <c r="AQ121" s="138"/>
      <c r="AR121" s="138"/>
      <c r="AS121" s="138"/>
      <c r="AT121" s="138"/>
      <c r="AU121" s="138"/>
      <c r="AV121" s="138"/>
      <c r="AW121" s="138"/>
      <c r="AX121" s="138"/>
      <c r="AY121" s="138"/>
      <c r="AZ121" s="138"/>
      <c r="BA121" s="138"/>
      <c r="BB121" s="138"/>
      <c r="BC121" s="138"/>
      <c r="BD121" s="138"/>
      <c r="BE121" s="138"/>
      <c r="BF121" s="138"/>
      <c r="BG121" s="138"/>
      <c r="BH121" s="138"/>
      <c r="BI121" s="138"/>
      <c r="BJ121" s="140"/>
      <c r="BK121" s="32" t="str">
        <f t="shared" si="59"/>
        <v>ENT_01_C3-16_バックアップ_DPCレセプト_診療行為レコード.sql</v>
      </c>
    </row>
    <row r="122" spans="1:64" ht="37.5" hidden="1" customHeight="1" outlineLevel="1">
      <c r="A122" s="34" t="str">
        <f t="shared" si="66"/>
        <v>バックアップ_DPCレセプト_診療行為レコード_算定日情報</v>
      </c>
      <c r="B122" s="144" t="str">
        <f t="shared" si="8"/>
        <v>01</v>
      </c>
      <c r="C122" s="145"/>
      <c r="D122" s="145"/>
      <c r="E122" s="145"/>
      <c r="F122" s="146"/>
      <c r="G122" s="141" t="s">
        <v>197</v>
      </c>
      <c r="H122" s="142"/>
      <c r="I122" s="142"/>
      <c r="J122" s="142"/>
      <c r="K122" s="142"/>
      <c r="L122" s="142"/>
      <c r="M122" s="142"/>
      <c r="N122" s="143"/>
      <c r="O122" s="81" t="s">
        <v>3152</v>
      </c>
      <c r="P122" s="134" t="s">
        <v>1276</v>
      </c>
      <c r="Q122" s="135"/>
      <c r="R122" s="135"/>
      <c r="S122" s="135"/>
      <c r="T122" s="135"/>
      <c r="U122" s="135"/>
      <c r="V122" s="135"/>
      <c r="W122" s="135"/>
      <c r="X122" s="135"/>
      <c r="Y122" s="135"/>
      <c r="Z122" s="135"/>
      <c r="AA122" s="135"/>
      <c r="AB122" s="135"/>
      <c r="AC122" s="135"/>
      <c r="AD122" s="136"/>
      <c r="AE122" s="137" t="str">
        <f t="shared" ca="1" si="67"/>
        <v>azn_202310_backup_merge_receiptd_si_day</v>
      </c>
      <c r="AF122" s="138"/>
      <c r="AG122" s="138"/>
      <c r="AH122" s="138"/>
      <c r="AI122" s="138"/>
      <c r="AJ122" s="138"/>
      <c r="AK122" s="138"/>
      <c r="AL122" s="139"/>
      <c r="AM122" s="137" t="str">
        <f t="shared" ca="1" si="68"/>
        <v>DPCレセプト_診療行為レコード_算定日情報テーブルから組入れ条件の第一条件で絞り込んだ結果を格納するテーブル</v>
      </c>
      <c r="AN122" s="138"/>
      <c r="AO122" s="138"/>
      <c r="AP122" s="138"/>
      <c r="AQ122" s="138"/>
      <c r="AR122" s="138"/>
      <c r="AS122" s="138"/>
      <c r="AT122" s="138"/>
      <c r="AU122" s="138"/>
      <c r="AV122" s="138"/>
      <c r="AW122" s="138"/>
      <c r="AX122" s="138"/>
      <c r="AY122" s="138"/>
      <c r="AZ122" s="138"/>
      <c r="BA122" s="138"/>
      <c r="BB122" s="138"/>
      <c r="BC122" s="138"/>
      <c r="BD122" s="138"/>
      <c r="BE122" s="138"/>
      <c r="BF122" s="138"/>
      <c r="BG122" s="138"/>
      <c r="BH122" s="138"/>
      <c r="BI122" s="138"/>
      <c r="BJ122" s="140"/>
      <c r="BK122" s="32" t="str">
        <f t="shared" si="59"/>
        <v>ENT_01_C3-17_バックアップ_DPCレセプト_診療行為レコード_算定日情報.sql</v>
      </c>
    </row>
    <row r="123" spans="1:64" ht="37.5" hidden="1" customHeight="1" outlineLevel="1">
      <c r="A123" s="34" t="str">
        <f t="shared" si="66"/>
        <v>バックアップ_DPCレセプト_医薬品レコード</v>
      </c>
      <c r="B123" s="144" t="str">
        <f t="shared" si="8"/>
        <v>01</v>
      </c>
      <c r="C123" s="145"/>
      <c r="D123" s="145"/>
      <c r="E123" s="145"/>
      <c r="F123" s="146"/>
      <c r="G123" s="141" t="s">
        <v>197</v>
      </c>
      <c r="H123" s="142"/>
      <c r="I123" s="142"/>
      <c r="J123" s="142"/>
      <c r="K123" s="142"/>
      <c r="L123" s="142"/>
      <c r="M123" s="142"/>
      <c r="N123" s="143"/>
      <c r="O123" s="81" t="s">
        <v>3153</v>
      </c>
      <c r="P123" s="134" t="s">
        <v>1279</v>
      </c>
      <c r="Q123" s="135"/>
      <c r="R123" s="135"/>
      <c r="S123" s="135"/>
      <c r="T123" s="135"/>
      <c r="U123" s="135"/>
      <c r="V123" s="135"/>
      <c r="W123" s="135"/>
      <c r="X123" s="135"/>
      <c r="Y123" s="135"/>
      <c r="Z123" s="135"/>
      <c r="AA123" s="135"/>
      <c r="AB123" s="135"/>
      <c r="AC123" s="135"/>
      <c r="AD123" s="136"/>
      <c r="AE123" s="137" t="str">
        <f t="shared" ca="1" si="67"/>
        <v>azn_202310_backup_merge_receiptd_iy</v>
      </c>
      <c r="AF123" s="138"/>
      <c r="AG123" s="138"/>
      <c r="AH123" s="138"/>
      <c r="AI123" s="138"/>
      <c r="AJ123" s="138"/>
      <c r="AK123" s="138"/>
      <c r="AL123" s="139"/>
      <c r="AM123" s="137" t="str">
        <f t="shared" ca="1" si="68"/>
        <v>DPCレセプト_医薬品レコードテーブルから組入れ条件の第一条件で絞り込んだ結果を格納するテーブル</v>
      </c>
      <c r="AN123" s="138"/>
      <c r="AO123" s="138"/>
      <c r="AP123" s="138"/>
      <c r="AQ123" s="138"/>
      <c r="AR123" s="138"/>
      <c r="AS123" s="138"/>
      <c r="AT123" s="138"/>
      <c r="AU123" s="138"/>
      <c r="AV123" s="138"/>
      <c r="AW123" s="138"/>
      <c r="AX123" s="138"/>
      <c r="AY123" s="138"/>
      <c r="AZ123" s="138"/>
      <c r="BA123" s="138"/>
      <c r="BB123" s="138"/>
      <c r="BC123" s="138"/>
      <c r="BD123" s="138"/>
      <c r="BE123" s="138"/>
      <c r="BF123" s="138"/>
      <c r="BG123" s="138"/>
      <c r="BH123" s="138"/>
      <c r="BI123" s="138"/>
      <c r="BJ123" s="140"/>
      <c r="BK123" s="32" t="str">
        <f t="shared" si="59"/>
        <v>ENT_01_C3-18_バックアップ_DPCレセプト_医薬品レコード.sql</v>
      </c>
    </row>
    <row r="124" spans="1:64" ht="37.5" hidden="1" customHeight="1" outlineLevel="1">
      <c r="A124" s="34" t="str">
        <f t="shared" si="66"/>
        <v>バックアップ_DPCレセプト_医薬品レコード_算定日情報</v>
      </c>
      <c r="B124" s="144" t="str">
        <f t="shared" si="8"/>
        <v>01</v>
      </c>
      <c r="C124" s="145"/>
      <c r="D124" s="145"/>
      <c r="E124" s="145"/>
      <c r="F124" s="146"/>
      <c r="G124" s="141" t="s">
        <v>197</v>
      </c>
      <c r="H124" s="142"/>
      <c r="I124" s="142"/>
      <c r="J124" s="142"/>
      <c r="K124" s="142"/>
      <c r="L124" s="142"/>
      <c r="M124" s="142"/>
      <c r="N124" s="143"/>
      <c r="O124" s="81" t="s">
        <v>3154</v>
      </c>
      <c r="P124" s="134" t="s">
        <v>1281</v>
      </c>
      <c r="Q124" s="135"/>
      <c r="R124" s="135"/>
      <c r="S124" s="135"/>
      <c r="T124" s="135"/>
      <c r="U124" s="135"/>
      <c r="V124" s="135"/>
      <c r="W124" s="135"/>
      <c r="X124" s="135"/>
      <c r="Y124" s="135"/>
      <c r="Z124" s="135"/>
      <c r="AA124" s="135"/>
      <c r="AB124" s="135"/>
      <c r="AC124" s="135"/>
      <c r="AD124" s="136"/>
      <c r="AE124" s="137" t="str">
        <f t="shared" ca="1" si="67"/>
        <v>azn_202310_backup_merge_receiptd_iy_day</v>
      </c>
      <c r="AF124" s="138"/>
      <c r="AG124" s="138"/>
      <c r="AH124" s="138"/>
      <c r="AI124" s="138"/>
      <c r="AJ124" s="138"/>
      <c r="AK124" s="138"/>
      <c r="AL124" s="139"/>
      <c r="AM124" s="137" t="str">
        <f t="shared" ca="1" si="68"/>
        <v>DPCレセプト_医薬品レコード_算定日情報テーブルから組入れ条件の第一条件で絞り込んだ結果を格納するテーブル</v>
      </c>
      <c r="AN124" s="138"/>
      <c r="AO124" s="138"/>
      <c r="AP124" s="138"/>
      <c r="AQ124" s="138"/>
      <c r="AR124" s="138"/>
      <c r="AS124" s="138"/>
      <c r="AT124" s="138"/>
      <c r="AU124" s="138"/>
      <c r="AV124" s="138"/>
      <c r="AW124" s="138"/>
      <c r="AX124" s="138"/>
      <c r="AY124" s="138"/>
      <c r="AZ124" s="138"/>
      <c r="BA124" s="138"/>
      <c r="BB124" s="138"/>
      <c r="BC124" s="138"/>
      <c r="BD124" s="138"/>
      <c r="BE124" s="138"/>
      <c r="BF124" s="138"/>
      <c r="BG124" s="138"/>
      <c r="BH124" s="138"/>
      <c r="BI124" s="138"/>
      <c r="BJ124" s="140"/>
      <c r="BK124" s="32" t="str">
        <f t="shared" si="59"/>
        <v>ENT_01_C3-19_バックアップ_DPCレセプト_医薬品レコード_算定日情報.sql</v>
      </c>
    </row>
    <row r="125" spans="1:64" ht="37.5" hidden="1" customHeight="1" outlineLevel="1">
      <c r="A125" s="34" t="str">
        <f t="shared" ref="A125:A142" si="69">P125</f>
        <v>バックアップ_DPCレセプト_臓器提供者レセプト情報レコード</v>
      </c>
      <c r="B125" s="144" t="str">
        <f t="shared" si="8"/>
        <v>01</v>
      </c>
      <c r="C125" s="145"/>
      <c r="D125" s="145"/>
      <c r="E125" s="145"/>
      <c r="F125" s="146"/>
      <c r="G125" s="141" t="s">
        <v>197</v>
      </c>
      <c r="H125" s="142"/>
      <c r="I125" s="142"/>
      <c r="J125" s="142"/>
      <c r="K125" s="142"/>
      <c r="L125" s="142"/>
      <c r="M125" s="142"/>
      <c r="N125" s="143"/>
      <c r="O125" s="81" t="s">
        <v>3155</v>
      </c>
      <c r="P125" s="134" t="s">
        <v>1283</v>
      </c>
      <c r="Q125" s="135"/>
      <c r="R125" s="135"/>
      <c r="S125" s="135"/>
      <c r="T125" s="135"/>
      <c r="U125" s="135"/>
      <c r="V125" s="135"/>
      <c r="W125" s="135"/>
      <c r="X125" s="135"/>
      <c r="Y125" s="135"/>
      <c r="Z125" s="135"/>
      <c r="AA125" s="135"/>
      <c r="AB125" s="135"/>
      <c r="AC125" s="135"/>
      <c r="AD125" s="136"/>
      <c r="AE125" s="137" t="str">
        <f t="shared" ca="1" si="64"/>
        <v>azn_202310_backup_merge_receiptd_tr</v>
      </c>
      <c r="AF125" s="138"/>
      <c r="AG125" s="138"/>
      <c r="AH125" s="138"/>
      <c r="AI125" s="138"/>
      <c r="AJ125" s="138"/>
      <c r="AK125" s="138"/>
      <c r="AL125" s="139"/>
      <c r="AM125" s="137" t="str">
        <f t="shared" ca="1" si="65"/>
        <v>DPCレセプト_臓器提供者レセプト情報レコードテーブルから組入れ条件の第一条件で絞り込んだ結果を格納するテーブル</v>
      </c>
      <c r="AN125" s="138"/>
      <c r="AO125" s="138"/>
      <c r="AP125" s="138"/>
      <c r="AQ125" s="138"/>
      <c r="AR125" s="138"/>
      <c r="AS125" s="138"/>
      <c r="AT125" s="138"/>
      <c r="AU125" s="138"/>
      <c r="AV125" s="138"/>
      <c r="AW125" s="138"/>
      <c r="AX125" s="138"/>
      <c r="AY125" s="138"/>
      <c r="AZ125" s="138"/>
      <c r="BA125" s="138"/>
      <c r="BB125" s="138"/>
      <c r="BC125" s="138"/>
      <c r="BD125" s="138"/>
      <c r="BE125" s="138"/>
      <c r="BF125" s="138"/>
      <c r="BG125" s="138"/>
      <c r="BH125" s="138"/>
      <c r="BI125" s="138"/>
      <c r="BJ125" s="140"/>
      <c r="BK125" s="32" t="str">
        <f t="shared" si="59"/>
        <v>ENT_01_C3-24_バックアップ_DPCレセプト_臓器提供者レセプト情報レコード.sql</v>
      </c>
    </row>
    <row r="126" spans="1:64" ht="37.5" hidden="1" customHeight="1" outlineLevel="1">
      <c r="A126" s="34" t="str">
        <f t="shared" si="69"/>
        <v>バックアップ_患者情報モジュール_患者情報</v>
      </c>
      <c r="B126" s="144" t="str">
        <f t="shared" si="8"/>
        <v>01</v>
      </c>
      <c r="C126" s="145"/>
      <c r="D126" s="145"/>
      <c r="E126" s="145"/>
      <c r="F126" s="146"/>
      <c r="G126" s="141" t="s">
        <v>197</v>
      </c>
      <c r="H126" s="142"/>
      <c r="I126" s="142"/>
      <c r="J126" s="142"/>
      <c r="K126" s="142"/>
      <c r="L126" s="142"/>
      <c r="M126" s="142"/>
      <c r="N126" s="143"/>
      <c r="O126" s="81" t="s">
        <v>3156</v>
      </c>
      <c r="P126" s="134" t="s">
        <v>1285</v>
      </c>
      <c r="Q126" s="135"/>
      <c r="R126" s="135"/>
      <c r="S126" s="135"/>
      <c r="T126" s="135"/>
      <c r="U126" s="135"/>
      <c r="V126" s="135"/>
      <c r="W126" s="135"/>
      <c r="X126" s="135"/>
      <c r="Y126" s="135"/>
      <c r="Z126" s="135"/>
      <c r="AA126" s="135"/>
      <c r="AB126" s="135"/>
      <c r="AC126" s="135"/>
      <c r="AD126" s="136"/>
      <c r="AE126" s="137" t="str">
        <f t="shared" ca="1" si="64"/>
        <v>azn_202310_backup_merge_mml_pi_master</v>
      </c>
      <c r="AF126" s="138"/>
      <c r="AG126" s="138"/>
      <c r="AH126" s="138"/>
      <c r="AI126" s="138"/>
      <c r="AJ126" s="138"/>
      <c r="AK126" s="138"/>
      <c r="AL126" s="139"/>
      <c r="AM126" s="137" t="str">
        <f t="shared" ca="1" si="65"/>
        <v>患者情報モジュール_患者情報テーブルから組入れ条件の第一条件で絞り込んだ結果を格納するテーブル</v>
      </c>
      <c r="AN126" s="138"/>
      <c r="AO126" s="138"/>
      <c r="AP126" s="138"/>
      <c r="AQ126" s="138"/>
      <c r="AR126" s="138"/>
      <c r="AS126" s="138"/>
      <c r="AT126" s="138"/>
      <c r="AU126" s="138"/>
      <c r="AV126" s="138"/>
      <c r="AW126" s="138"/>
      <c r="AX126" s="138"/>
      <c r="AY126" s="138"/>
      <c r="AZ126" s="138"/>
      <c r="BA126" s="138"/>
      <c r="BB126" s="138"/>
      <c r="BC126" s="138"/>
      <c r="BD126" s="138"/>
      <c r="BE126" s="138"/>
      <c r="BF126" s="138"/>
      <c r="BG126" s="138"/>
      <c r="BH126" s="138"/>
      <c r="BI126" s="138"/>
      <c r="BJ126" s="140"/>
      <c r="BK126" s="32" t="str">
        <f t="shared" si="59"/>
        <v>ENT_01_C4-01_バックアップ_患者情報モジュール_患者情報.sql</v>
      </c>
    </row>
    <row r="127" spans="1:64" ht="37.5" hidden="1" customHeight="1" outlineLevel="1">
      <c r="A127" s="34" t="str">
        <f t="shared" si="69"/>
        <v>バックアップ_診断履歴情報モジュール_診断履歴情報レコード</v>
      </c>
      <c r="B127" s="144" t="str">
        <f t="shared" si="8"/>
        <v>01</v>
      </c>
      <c r="C127" s="145"/>
      <c r="D127" s="145"/>
      <c r="E127" s="145"/>
      <c r="F127" s="146"/>
      <c r="G127" s="141" t="s">
        <v>197</v>
      </c>
      <c r="H127" s="142"/>
      <c r="I127" s="142"/>
      <c r="J127" s="142"/>
      <c r="K127" s="142"/>
      <c r="L127" s="142"/>
      <c r="M127" s="142"/>
      <c r="N127" s="143"/>
      <c r="O127" s="81" t="s">
        <v>3157</v>
      </c>
      <c r="P127" s="134" t="s">
        <v>1343</v>
      </c>
      <c r="Q127" s="135"/>
      <c r="R127" s="135"/>
      <c r="S127" s="135"/>
      <c r="T127" s="135"/>
      <c r="U127" s="135"/>
      <c r="V127" s="135"/>
      <c r="W127" s="135"/>
      <c r="X127" s="135"/>
      <c r="Y127" s="135"/>
      <c r="Z127" s="135"/>
      <c r="AA127" s="135"/>
      <c r="AB127" s="135"/>
      <c r="AC127" s="135"/>
      <c r="AD127" s="136"/>
      <c r="AE127" s="137" t="str">
        <f t="shared" ca="1" si="64"/>
        <v>azn_202310_backup_merge_mml_rd_register</v>
      </c>
      <c r="AF127" s="138"/>
      <c r="AG127" s="138"/>
      <c r="AH127" s="138"/>
      <c r="AI127" s="138"/>
      <c r="AJ127" s="138"/>
      <c r="AK127" s="138"/>
      <c r="AL127" s="139"/>
      <c r="AM127" s="137" t="str">
        <f t="shared" ca="1" si="65"/>
        <v>診断履歴情報モジュール_診断履歴情報レコードテーブルから組入れ条件の第一条件で絞り込んだ結果を格納するテーブル</v>
      </c>
      <c r="AN127" s="138"/>
      <c r="AO127" s="138"/>
      <c r="AP127" s="138"/>
      <c r="AQ127" s="138"/>
      <c r="AR127" s="138"/>
      <c r="AS127" s="138"/>
      <c r="AT127" s="138"/>
      <c r="AU127" s="138"/>
      <c r="AV127" s="138"/>
      <c r="AW127" s="138"/>
      <c r="AX127" s="138"/>
      <c r="AY127" s="138"/>
      <c r="AZ127" s="138"/>
      <c r="BA127" s="138"/>
      <c r="BB127" s="138"/>
      <c r="BC127" s="138"/>
      <c r="BD127" s="138"/>
      <c r="BE127" s="138"/>
      <c r="BF127" s="138"/>
      <c r="BG127" s="138"/>
      <c r="BH127" s="138"/>
      <c r="BI127" s="138"/>
      <c r="BJ127" s="140"/>
      <c r="BK127" s="32" t="str">
        <f t="shared" si="59"/>
        <v>ENT_01_C4-03_バックアップ_診断履歴情報モジュール_診断履歴情報レコード.sql</v>
      </c>
      <c r="BL127" s="32">
        <v>1</v>
      </c>
    </row>
    <row r="128" spans="1:64" ht="37.5" hidden="1" customHeight="1" outlineLevel="1">
      <c r="A128" s="34" t="str">
        <f t="shared" si="69"/>
        <v>バックアップ_診断履歴情報モジュール_診断病名レコード</v>
      </c>
      <c r="B128" s="144" t="str">
        <f t="shared" si="8"/>
        <v>01</v>
      </c>
      <c r="C128" s="145"/>
      <c r="D128" s="145"/>
      <c r="E128" s="145"/>
      <c r="F128" s="146"/>
      <c r="G128" s="141" t="s">
        <v>197</v>
      </c>
      <c r="H128" s="142"/>
      <c r="I128" s="142"/>
      <c r="J128" s="142"/>
      <c r="K128" s="142"/>
      <c r="L128" s="142"/>
      <c r="M128" s="142"/>
      <c r="N128" s="143"/>
      <c r="O128" s="81" t="s">
        <v>3158</v>
      </c>
      <c r="P128" s="134" t="s">
        <v>1362</v>
      </c>
      <c r="Q128" s="135"/>
      <c r="R128" s="135"/>
      <c r="S128" s="135"/>
      <c r="T128" s="135"/>
      <c r="U128" s="135"/>
      <c r="V128" s="135"/>
      <c r="W128" s="135"/>
      <c r="X128" s="135"/>
      <c r="Y128" s="135"/>
      <c r="Z128" s="135"/>
      <c r="AA128" s="135"/>
      <c r="AB128" s="135"/>
      <c r="AC128" s="135"/>
      <c r="AD128" s="136"/>
      <c r="AE128" s="137" t="str">
        <f t="shared" ca="1" si="64"/>
        <v>azn_202310_backup_merge_mml_rd_byomei</v>
      </c>
      <c r="AF128" s="138"/>
      <c r="AG128" s="138"/>
      <c r="AH128" s="138"/>
      <c r="AI128" s="138"/>
      <c r="AJ128" s="138"/>
      <c r="AK128" s="138"/>
      <c r="AL128" s="139"/>
      <c r="AM128" s="137" t="str">
        <f t="shared" ca="1" si="65"/>
        <v>診断履歴情報モジュール_診断病名レコードテーブルから組入れ条件の第一条件で絞り込んだ結果を格納するテーブル</v>
      </c>
      <c r="AN128" s="138"/>
      <c r="AO128" s="138"/>
      <c r="AP128" s="138"/>
      <c r="AQ128" s="138"/>
      <c r="AR128" s="138"/>
      <c r="AS128" s="138"/>
      <c r="AT128" s="138"/>
      <c r="AU128" s="138"/>
      <c r="AV128" s="138"/>
      <c r="AW128" s="138"/>
      <c r="AX128" s="138"/>
      <c r="AY128" s="138"/>
      <c r="AZ128" s="138"/>
      <c r="BA128" s="138"/>
      <c r="BB128" s="138"/>
      <c r="BC128" s="138"/>
      <c r="BD128" s="138"/>
      <c r="BE128" s="138"/>
      <c r="BF128" s="138"/>
      <c r="BG128" s="138"/>
      <c r="BH128" s="138"/>
      <c r="BI128" s="138"/>
      <c r="BJ128" s="140"/>
      <c r="BK128" s="32" t="str">
        <f t="shared" si="59"/>
        <v>ENT_01_C4-04_バックアップ_診断履歴情報モジュール_診断病名レコード.sql</v>
      </c>
      <c r="BL128" s="32">
        <v>1</v>
      </c>
    </row>
    <row r="129" spans="1:64" ht="37.5" hidden="1" customHeight="1" outlineLevel="1">
      <c r="A129" s="34" t="str">
        <f t="shared" si="69"/>
        <v>バックアップ_診断履歴情報モジュール_診断分類レコード</v>
      </c>
      <c r="B129" s="144" t="str">
        <f t="shared" si="8"/>
        <v>01</v>
      </c>
      <c r="C129" s="145"/>
      <c r="D129" s="145"/>
      <c r="E129" s="145"/>
      <c r="F129" s="146"/>
      <c r="G129" s="141" t="s">
        <v>197</v>
      </c>
      <c r="H129" s="142"/>
      <c r="I129" s="142"/>
      <c r="J129" s="142"/>
      <c r="K129" s="142"/>
      <c r="L129" s="142"/>
      <c r="M129" s="142"/>
      <c r="N129" s="143"/>
      <c r="O129" s="81" t="s">
        <v>3159</v>
      </c>
      <c r="P129" s="134" t="s">
        <v>1376</v>
      </c>
      <c r="Q129" s="135"/>
      <c r="R129" s="135"/>
      <c r="S129" s="135"/>
      <c r="T129" s="135"/>
      <c r="U129" s="135"/>
      <c r="V129" s="135"/>
      <c r="W129" s="135"/>
      <c r="X129" s="135"/>
      <c r="Y129" s="135"/>
      <c r="Z129" s="135"/>
      <c r="AA129" s="135"/>
      <c r="AB129" s="135"/>
      <c r="AC129" s="135"/>
      <c r="AD129" s="136"/>
      <c r="AE129" s="137" t="str">
        <f t="shared" ca="1" si="64"/>
        <v>azn_202310_backup_merge_mml_rd_category</v>
      </c>
      <c r="AF129" s="138"/>
      <c r="AG129" s="138"/>
      <c r="AH129" s="138"/>
      <c r="AI129" s="138"/>
      <c r="AJ129" s="138"/>
      <c r="AK129" s="138"/>
      <c r="AL129" s="139"/>
      <c r="AM129" s="137" t="str">
        <f t="shared" ca="1" si="65"/>
        <v>診断履歴情報モジュール_診断分類レコードテーブルから組入れ条件の第一条件で絞り込んだ結果を格納するテーブル</v>
      </c>
      <c r="AN129" s="138"/>
      <c r="AO129" s="138"/>
      <c r="AP129" s="138"/>
      <c r="AQ129" s="138"/>
      <c r="AR129" s="138"/>
      <c r="AS129" s="138"/>
      <c r="AT129" s="138"/>
      <c r="AU129" s="138"/>
      <c r="AV129" s="138"/>
      <c r="AW129" s="138"/>
      <c r="AX129" s="138"/>
      <c r="AY129" s="138"/>
      <c r="AZ129" s="138"/>
      <c r="BA129" s="138"/>
      <c r="BB129" s="138"/>
      <c r="BC129" s="138"/>
      <c r="BD129" s="138"/>
      <c r="BE129" s="138"/>
      <c r="BF129" s="138"/>
      <c r="BG129" s="138"/>
      <c r="BH129" s="138"/>
      <c r="BI129" s="138"/>
      <c r="BJ129" s="140"/>
      <c r="BK129" s="32" t="str">
        <f t="shared" si="59"/>
        <v>ENT_01_C4-05_バックアップ_診断履歴情報モジュール_診断分類レコード.sql</v>
      </c>
    </row>
    <row r="130" spans="1:64" ht="37.5" hidden="1" customHeight="1" outlineLevel="1">
      <c r="A130" s="34" t="str">
        <f t="shared" si="69"/>
        <v>バックアップ_経過記録情報モジュール_経過記録情報レコード</v>
      </c>
      <c r="B130" s="144" t="str">
        <f t="shared" si="8"/>
        <v>01</v>
      </c>
      <c r="C130" s="145"/>
      <c r="D130" s="145"/>
      <c r="E130" s="145"/>
      <c r="F130" s="146"/>
      <c r="G130" s="141" t="s">
        <v>197</v>
      </c>
      <c r="H130" s="142"/>
      <c r="I130" s="142"/>
      <c r="J130" s="142"/>
      <c r="K130" s="142"/>
      <c r="L130" s="142"/>
      <c r="M130" s="142"/>
      <c r="N130" s="143"/>
      <c r="O130" s="81" t="s">
        <v>3160</v>
      </c>
      <c r="P130" s="134" t="s">
        <v>1387</v>
      </c>
      <c r="Q130" s="135"/>
      <c r="R130" s="135"/>
      <c r="S130" s="135"/>
      <c r="T130" s="135"/>
      <c r="U130" s="135"/>
      <c r="V130" s="135"/>
      <c r="W130" s="135"/>
      <c r="X130" s="135"/>
      <c r="Y130" s="135"/>
      <c r="Z130" s="135"/>
      <c r="AA130" s="135"/>
      <c r="AB130" s="135"/>
      <c r="AC130" s="135"/>
      <c r="AD130" s="136"/>
      <c r="AE130" s="137" t="str">
        <f t="shared" ca="1" si="64"/>
        <v>azn_202310_backup_merge_mml_pc_progress_course</v>
      </c>
      <c r="AF130" s="138"/>
      <c r="AG130" s="138"/>
      <c r="AH130" s="138"/>
      <c r="AI130" s="138"/>
      <c r="AJ130" s="138"/>
      <c r="AK130" s="138"/>
      <c r="AL130" s="139"/>
      <c r="AM130" s="137" t="str">
        <f t="shared" ca="1" si="65"/>
        <v>経過記録情報モジュール_経過記録情報レコードテーブルから組入れ条件の第一条件で絞り込んだ結果を格納するテーブル</v>
      </c>
      <c r="AN130" s="138"/>
      <c r="AO130" s="138"/>
      <c r="AP130" s="138"/>
      <c r="AQ130" s="138"/>
      <c r="AR130" s="138"/>
      <c r="AS130" s="138"/>
      <c r="AT130" s="138"/>
      <c r="AU130" s="138"/>
      <c r="AV130" s="138"/>
      <c r="AW130" s="138"/>
      <c r="AX130" s="138"/>
      <c r="AY130" s="138"/>
      <c r="AZ130" s="138"/>
      <c r="BA130" s="138"/>
      <c r="BB130" s="138"/>
      <c r="BC130" s="138"/>
      <c r="BD130" s="138"/>
      <c r="BE130" s="138"/>
      <c r="BF130" s="138"/>
      <c r="BG130" s="138"/>
      <c r="BH130" s="138"/>
      <c r="BI130" s="138"/>
      <c r="BJ130" s="140"/>
      <c r="BK130" s="32" t="str">
        <f t="shared" si="59"/>
        <v>ENT_01_C4-06_バックアップ_経過記録情報モジュール_経過記録情報レコード.sql</v>
      </c>
      <c r="BL130" s="32">
        <v>1</v>
      </c>
    </row>
    <row r="131" spans="1:64" ht="37.5" hidden="1" customHeight="1" outlineLevel="1">
      <c r="A131" s="34" t="str">
        <f t="shared" si="69"/>
        <v>バックアップ_経過記録情報モジュール_プロブレムレコード</v>
      </c>
      <c r="B131" s="144" t="str">
        <f t="shared" si="8"/>
        <v>01</v>
      </c>
      <c r="C131" s="145"/>
      <c r="D131" s="145"/>
      <c r="E131" s="145"/>
      <c r="F131" s="146"/>
      <c r="G131" s="141" t="s">
        <v>197</v>
      </c>
      <c r="H131" s="142"/>
      <c r="I131" s="142"/>
      <c r="J131" s="142"/>
      <c r="K131" s="142"/>
      <c r="L131" s="142"/>
      <c r="M131" s="142"/>
      <c r="N131" s="143"/>
      <c r="O131" s="81" t="s">
        <v>3161</v>
      </c>
      <c r="P131" s="134" t="s">
        <v>1395</v>
      </c>
      <c r="Q131" s="135"/>
      <c r="R131" s="135"/>
      <c r="S131" s="135"/>
      <c r="T131" s="135"/>
      <c r="U131" s="135"/>
      <c r="V131" s="135"/>
      <c r="W131" s="135"/>
      <c r="X131" s="135"/>
      <c r="Y131" s="135"/>
      <c r="Z131" s="135"/>
      <c r="AA131" s="135"/>
      <c r="AB131" s="135"/>
      <c r="AC131" s="135"/>
      <c r="AD131" s="136"/>
      <c r="AE131" s="137" t="str">
        <f t="shared" ca="1" si="64"/>
        <v>azn_202310_backup_merge_mml_pc_problem</v>
      </c>
      <c r="AF131" s="138"/>
      <c r="AG131" s="138"/>
      <c r="AH131" s="138"/>
      <c r="AI131" s="138"/>
      <c r="AJ131" s="138"/>
      <c r="AK131" s="138"/>
      <c r="AL131" s="139"/>
      <c r="AM131" s="137" t="str">
        <f t="shared" ca="1" si="65"/>
        <v>経過記録情報モジュール_プロブレムレコードテーブルから組入れ条件の第一条件で絞り込んだ結果を格納するテーブル</v>
      </c>
      <c r="AN131" s="138"/>
      <c r="AO131" s="138"/>
      <c r="AP131" s="138"/>
      <c r="AQ131" s="138"/>
      <c r="AR131" s="138"/>
      <c r="AS131" s="138"/>
      <c r="AT131" s="138"/>
      <c r="AU131" s="138"/>
      <c r="AV131" s="138"/>
      <c r="AW131" s="138"/>
      <c r="AX131" s="138"/>
      <c r="AY131" s="138"/>
      <c r="AZ131" s="138"/>
      <c r="BA131" s="138"/>
      <c r="BB131" s="138"/>
      <c r="BC131" s="138"/>
      <c r="BD131" s="138"/>
      <c r="BE131" s="138"/>
      <c r="BF131" s="138"/>
      <c r="BG131" s="138"/>
      <c r="BH131" s="138"/>
      <c r="BI131" s="138"/>
      <c r="BJ131" s="140"/>
      <c r="BK131" s="32" t="str">
        <f t="shared" si="59"/>
        <v>ENT_01_C4-07_バックアップ_経過記録情報モジュール_プロブレムレコード.sql</v>
      </c>
      <c r="BL131" s="32">
        <v>1</v>
      </c>
    </row>
    <row r="132" spans="1:64" ht="37.5" hidden="1" customHeight="1" outlineLevel="1">
      <c r="A132" s="34" t="str">
        <f t="shared" si="69"/>
        <v>バックアップ_経過記録情報モジュール_身体所見レコード</v>
      </c>
      <c r="B132" s="144" t="str">
        <f t="shared" si="8"/>
        <v>01</v>
      </c>
      <c r="C132" s="145"/>
      <c r="D132" s="145"/>
      <c r="E132" s="145"/>
      <c r="F132" s="146"/>
      <c r="G132" s="141" t="s">
        <v>197</v>
      </c>
      <c r="H132" s="142"/>
      <c r="I132" s="142"/>
      <c r="J132" s="142"/>
      <c r="K132" s="142"/>
      <c r="L132" s="142"/>
      <c r="M132" s="142"/>
      <c r="N132" s="143"/>
      <c r="O132" s="81" t="s">
        <v>3162</v>
      </c>
      <c r="P132" s="134" t="s">
        <v>1433</v>
      </c>
      <c r="Q132" s="135"/>
      <c r="R132" s="135"/>
      <c r="S132" s="135"/>
      <c r="T132" s="135"/>
      <c r="U132" s="135"/>
      <c r="V132" s="135"/>
      <c r="W132" s="135"/>
      <c r="X132" s="135"/>
      <c r="Y132" s="135"/>
      <c r="Z132" s="135"/>
      <c r="AA132" s="135"/>
      <c r="AB132" s="135"/>
      <c r="AC132" s="135"/>
      <c r="AD132" s="136"/>
      <c r="AE132" s="137" t="str">
        <f t="shared" ca="1" si="64"/>
        <v>azn_202310_backup_merge_mml_pc_physical_exam</v>
      </c>
      <c r="AF132" s="138"/>
      <c r="AG132" s="138"/>
      <c r="AH132" s="138"/>
      <c r="AI132" s="138"/>
      <c r="AJ132" s="138"/>
      <c r="AK132" s="138"/>
      <c r="AL132" s="139"/>
      <c r="AM132" s="137" t="str">
        <f t="shared" ca="1" si="65"/>
        <v>経過記録情報モジュール_身体所見レコードテーブルから組入れ条件の第一条件で絞り込んだ結果を格納するテーブル</v>
      </c>
      <c r="AN132" s="138"/>
      <c r="AO132" s="138"/>
      <c r="AP132" s="138"/>
      <c r="AQ132" s="138"/>
      <c r="AR132" s="138"/>
      <c r="AS132" s="138"/>
      <c r="AT132" s="138"/>
      <c r="AU132" s="138"/>
      <c r="AV132" s="138"/>
      <c r="AW132" s="138"/>
      <c r="AX132" s="138"/>
      <c r="AY132" s="138"/>
      <c r="AZ132" s="138"/>
      <c r="BA132" s="138"/>
      <c r="BB132" s="138"/>
      <c r="BC132" s="138"/>
      <c r="BD132" s="138"/>
      <c r="BE132" s="138"/>
      <c r="BF132" s="138"/>
      <c r="BG132" s="138"/>
      <c r="BH132" s="138"/>
      <c r="BI132" s="138"/>
      <c r="BJ132" s="140"/>
      <c r="BK132" s="32" t="str">
        <f t="shared" si="59"/>
        <v>ENT_01_C4-08_バックアップ_経過記録情報モジュール_身体所見レコード.sql</v>
      </c>
      <c r="BL132" s="32">
        <v>1</v>
      </c>
    </row>
    <row r="133" spans="1:64" ht="37.5" hidden="1" customHeight="1" outlineLevel="1">
      <c r="A133" s="34" t="str">
        <f t="shared" si="69"/>
        <v>バックアップ_経過記録情報モジュール_アセスメントレコード</v>
      </c>
      <c r="B133" s="144" t="str">
        <f t="shared" si="8"/>
        <v>01</v>
      </c>
      <c r="C133" s="145"/>
      <c r="D133" s="145"/>
      <c r="E133" s="145"/>
      <c r="F133" s="146"/>
      <c r="G133" s="141" t="s">
        <v>197</v>
      </c>
      <c r="H133" s="142"/>
      <c r="I133" s="142"/>
      <c r="J133" s="142"/>
      <c r="K133" s="142"/>
      <c r="L133" s="142"/>
      <c r="M133" s="142"/>
      <c r="N133" s="143"/>
      <c r="O133" s="81" t="s">
        <v>3163</v>
      </c>
      <c r="P133" s="134" t="s">
        <v>1447</v>
      </c>
      <c r="Q133" s="135"/>
      <c r="R133" s="135"/>
      <c r="S133" s="135"/>
      <c r="T133" s="135"/>
      <c r="U133" s="135"/>
      <c r="V133" s="135"/>
      <c r="W133" s="135"/>
      <c r="X133" s="135"/>
      <c r="Y133" s="135"/>
      <c r="Z133" s="135"/>
      <c r="AA133" s="135"/>
      <c r="AB133" s="135"/>
      <c r="AC133" s="135"/>
      <c r="AD133" s="136"/>
      <c r="AE133" s="137" t="str">
        <f t="shared" ca="1" si="64"/>
        <v>azn_202310_backup_merge_mml_pc_assessment</v>
      </c>
      <c r="AF133" s="138"/>
      <c r="AG133" s="138"/>
      <c r="AH133" s="138"/>
      <c r="AI133" s="138"/>
      <c r="AJ133" s="138"/>
      <c r="AK133" s="138"/>
      <c r="AL133" s="139"/>
      <c r="AM133" s="137" t="str">
        <f t="shared" ca="1" si="65"/>
        <v>経過記録情報モジュール_アセスメントレコードテーブルから組入れ条件の第一条件で絞り込んだ結果を格納するテーブル</v>
      </c>
      <c r="AN133" s="138"/>
      <c r="AO133" s="138"/>
      <c r="AP133" s="138"/>
      <c r="AQ133" s="138"/>
      <c r="AR133" s="138"/>
      <c r="AS133" s="138"/>
      <c r="AT133" s="138"/>
      <c r="AU133" s="138"/>
      <c r="AV133" s="138"/>
      <c r="AW133" s="138"/>
      <c r="AX133" s="138"/>
      <c r="AY133" s="138"/>
      <c r="AZ133" s="138"/>
      <c r="BA133" s="138"/>
      <c r="BB133" s="138"/>
      <c r="BC133" s="138"/>
      <c r="BD133" s="138"/>
      <c r="BE133" s="138"/>
      <c r="BF133" s="138"/>
      <c r="BG133" s="138"/>
      <c r="BH133" s="138"/>
      <c r="BI133" s="138"/>
      <c r="BJ133" s="140"/>
      <c r="BK133" s="32" t="str">
        <f t="shared" ref="BK133:BK146" si="70">IF(P133&lt;&gt;"",O133&amp;"_"&amp;P133&amp;".sql","")</f>
        <v>ENT_01_C4-15_バックアップ_経過記録情報モジュール_アセスメントレコード.sql</v>
      </c>
      <c r="BL133" s="32">
        <v>1</v>
      </c>
    </row>
    <row r="134" spans="1:64" ht="37.5" hidden="1" customHeight="1" outlineLevel="1">
      <c r="A134" s="34" t="str">
        <f t="shared" si="69"/>
        <v>バックアップ_経過記録情報モジュール_外部参照レコード</v>
      </c>
      <c r="B134" s="144" t="str">
        <f t="shared" si="8"/>
        <v>01</v>
      </c>
      <c r="C134" s="145"/>
      <c r="D134" s="145"/>
      <c r="E134" s="145"/>
      <c r="F134" s="146"/>
      <c r="G134" s="141" t="s">
        <v>197</v>
      </c>
      <c r="H134" s="142"/>
      <c r="I134" s="142"/>
      <c r="J134" s="142"/>
      <c r="K134" s="142"/>
      <c r="L134" s="142"/>
      <c r="M134" s="142"/>
      <c r="N134" s="143"/>
      <c r="O134" s="81" t="s">
        <v>3164</v>
      </c>
      <c r="P134" s="134" t="s">
        <v>1455</v>
      </c>
      <c r="Q134" s="135"/>
      <c r="R134" s="135"/>
      <c r="S134" s="135"/>
      <c r="T134" s="135"/>
      <c r="U134" s="135"/>
      <c r="V134" s="135"/>
      <c r="W134" s="135"/>
      <c r="X134" s="135"/>
      <c r="Y134" s="135"/>
      <c r="Z134" s="135"/>
      <c r="AA134" s="135"/>
      <c r="AB134" s="135"/>
      <c r="AC134" s="135"/>
      <c r="AD134" s="136"/>
      <c r="AE134" s="137" t="str">
        <f t="shared" ca="1" si="64"/>
        <v>azn_202310_backup_merge_mml_pc_external_reference</v>
      </c>
      <c r="AF134" s="138"/>
      <c r="AG134" s="138"/>
      <c r="AH134" s="138"/>
      <c r="AI134" s="138"/>
      <c r="AJ134" s="138"/>
      <c r="AK134" s="138"/>
      <c r="AL134" s="139"/>
      <c r="AM134" s="137" t="str">
        <f t="shared" ca="1" si="65"/>
        <v>経過記録情報モジュール_外部参照レコードテーブルから組入れ条件の第一条件で絞り込んだ結果を格納するテーブル</v>
      </c>
      <c r="AN134" s="138"/>
      <c r="AO134" s="138"/>
      <c r="AP134" s="138"/>
      <c r="AQ134" s="138"/>
      <c r="AR134" s="138"/>
      <c r="AS134" s="138"/>
      <c r="AT134" s="138"/>
      <c r="AU134" s="138"/>
      <c r="AV134" s="138"/>
      <c r="AW134" s="138"/>
      <c r="AX134" s="138"/>
      <c r="AY134" s="138"/>
      <c r="AZ134" s="138"/>
      <c r="BA134" s="138"/>
      <c r="BB134" s="138"/>
      <c r="BC134" s="138"/>
      <c r="BD134" s="138"/>
      <c r="BE134" s="138"/>
      <c r="BF134" s="138"/>
      <c r="BG134" s="138"/>
      <c r="BH134" s="138"/>
      <c r="BI134" s="138"/>
      <c r="BJ134" s="140"/>
      <c r="BK134" s="32" t="str">
        <f t="shared" si="70"/>
        <v>ENT_01_C4-22_バックアップ_経過記録情報モジュール_外部参照レコード.sql</v>
      </c>
      <c r="BL134" s="32">
        <v>1</v>
      </c>
    </row>
    <row r="135" spans="1:64" ht="37.5" hidden="1" customHeight="1" outlineLevel="1">
      <c r="A135" s="34" t="str">
        <f t="shared" si="69"/>
        <v>バックアップ_臨床サマリーモジュール_臨床サマリー情報レコード</v>
      </c>
      <c r="B135" s="144" t="str">
        <f t="shared" si="8"/>
        <v>01</v>
      </c>
      <c r="C135" s="145"/>
      <c r="D135" s="145"/>
      <c r="E135" s="145"/>
      <c r="F135" s="146"/>
      <c r="G135" s="141" t="s">
        <v>197</v>
      </c>
      <c r="H135" s="142"/>
      <c r="I135" s="142"/>
      <c r="J135" s="142"/>
      <c r="K135" s="142"/>
      <c r="L135" s="142"/>
      <c r="M135" s="142"/>
      <c r="N135" s="143"/>
      <c r="O135" s="81" t="s">
        <v>3165</v>
      </c>
      <c r="P135" s="134" t="s">
        <v>1478</v>
      </c>
      <c r="Q135" s="135"/>
      <c r="R135" s="135"/>
      <c r="S135" s="135"/>
      <c r="T135" s="135"/>
      <c r="U135" s="135"/>
      <c r="V135" s="135"/>
      <c r="W135" s="135"/>
      <c r="X135" s="135"/>
      <c r="Y135" s="135"/>
      <c r="Z135" s="135"/>
      <c r="AA135" s="135"/>
      <c r="AB135" s="135"/>
      <c r="AC135" s="135"/>
      <c r="AD135" s="136"/>
      <c r="AE135" s="137" t="str">
        <f t="shared" ca="1" si="64"/>
        <v>azn_202310_backup_merge_mml_sm_summary</v>
      </c>
      <c r="AF135" s="138"/>
      <c r="AG135" s="138"/>
      <c r="AH135" s="138"/>
      <c r="AI135" s="138"/>
      <c r="AJ135" s="138"/>
      <c r="AK135" s="138"/>
      <c r="AL135" s="139"/>
      <c r="AM135" s="137" t="str">
        <f t="shared" ca="1" si="65"/>
        <v>臨床サマリーモジュール_臨床サマリー情報レコードテーブルから組入れ条件の第一条件で絞り込んだ結果を格納するテーブル</v>
      </c>
      <c r="AN135" s="138"/>
      <c r="AO135" s="138"/>
      <c r="AP135" s="138"/>
      <c r="AQ135" s="138"/>
      <c r="AR135" s="138"/>
      <c r="AS135" s="138"/>
      <c r="AT135" s="138"/>
      <c r="AU135" s="138"/>
      <c r="AV135" s="138"/>
      <c r="AW135" s="138"/>
      <c r="AX135" s="138"/>
      <c r="AY135" s="138"/>
      <c r="AZ135" s="138"/>
      <c r="BA135" s="138"/>
      <c r="BB135" s="138"/>
      <c r="BC135" s="138"/>
      <c r="BD135" s="138"/>
      <c r="BE135" s="138"/>
      <c r="BF135" s="138"/>
      <c r="BG135" s="138"/>
      <c r="BH135" s="138"/>
      <c r="BI135" s="138"/>
      <c r="BJ135" s="140"/>
      <c r="BK135" s="32" t="str">
        <f t="shared" si="70"/>
        <v>ENT_01_C4-23_バックアップ_臨床サマリーモジュール_臨床サマリー情報レコード.sql</v>
      </c>
      <c r="BL135" s="32">
        <v>1</v>
      </c>
    </row>
    <row r="136" spans="1:64" ht="37.5" hidden="1" customHeight="1" outlineLevel="1">
      <c r="A136" s="34" t="str">
        <f t="shared" si="69"/>
        <v>バックアップ_臨床サマリーモジュール_外来受診レコード</v>
      </c>
      <c r="B136" s="144" t="str">
        <f t="shared" si="8"/>
        <v>01</v>
      </c>
      <c r="C136" s="145"/>
      <c r="D136" s="145"/>
      <c r="E136" s="145"/>
      <c r="F136" s="146"/>
      <c r="G136" s="141" t="s">
        <v>197</v>
      </c>
      <c r="H136" s="142"/>
      <c r="I136" s="142"/>
      <c r="J136" s="142"/>
      <c r="K136" s="142"/>
      <c r="L136" s="142"/>
      <c r="M136" s="142"/>
      <c r="N136" s="143"/>
      <c r="O136" s="81" t="s">
        <v>3166</v>
      </c>
      <c r="P136" s="134" t="s">
        <v>1520</v>
      </c>
      <c r="Q136" s="135"/>
      <c r="R136" s="135"/>
      <c r="S136" s="135"/>
      <c r="T136" s="135"/>
      <c r="U136" s="135"/>
      <c r="V136" s="135"/>
      <c r="W136" s="135"/>
      <c r="X136" s="135"/>
      <c r="Y136" s="135"/>
      <c r="Z136" s="135"/>
      <c r="AA136" s="135"/>
      <c r="AB136" s="135"/>
      <c r="AC136" s="135"/>
      <c r="AD136" s="136"/>
      <c r="AE136" s="137" t="str">
        <f t="shared" ca="1" si="64"/>
        <v>azn_202310_backup_merge_mml_sm_out_patient</v>
      </c>
      <c r="AF136" s="138"/>
      <c r="AG136" s="138"/>
      <c r="AH136" s="138"/>
      <c r="AI136" s="138"/>
      <c r="AJ136" s="138"/>
      <c r="AK136" s="138"/>
      <c r="AL136" s="139"/>
      <c r="AM136" s="137" t="str">
        <f t="shared" ca="1" si="65"/>
        <v>臨床サマリーモジュール_外来受診レコードテーブルから組入れ条件の第一条件で絞り込んだ結果を格納するテーブル</v>
      </c>
      <c r="AN136" s="138"/>
      <c r="AO136" s="138"/>
      <c r="AP136" s="138"/>
      <c r="AQ136" s="138"/>
      <c r="AR136" s="138"/>
      <c r="AS136" s="138"/>
      <c r="AT136" s="138"/>
      <c r="AU136" s="138"/>
      <c r="AV136" s="138"/>
      <c r="AW136" s="138"/>
      <c r="AX136" s="138"/>
      <c r="AY136" s="138"/>
      <c r="AZ136" s="138"/>
      <c r="BA136" s="138"/>
      <c r="BB136" s="138"/>
      <c r="BC136" s="138"/>
      <c r="BD136" s="138"/>
      <c r="BE136" s="138"/>
      <c r="BF136" s="138"/>
      <c r="BG136" s="138"/>
      <c r="BH136" s="138"/>
      <c r="BI136" s="138"/>
      <c r="BJ136" s="140"/>
      <c r="BK136" s="32" t="str">
        <f t="shared" si="70"/>
        <v>ENT_01_C4-24_バックアップ_臨床サマリーモジュール_外来受診レコード.sql</v>
      </c>
      <c r="BL136" s="32">
        <v>1</v>
      </c>
    </row>
    <row r="137" spans="1:64" ht="37.5" hidden="1" customHeight="1" outlineLevel="1">
      <c r="A137" s="34" t="str">
        <f t="shared" si="69"/>
        <v>バックアップ_臨床サマリーモジュール_入院レコード</v>
      </c>
      <c r="B137" s="144" t="str">
        <f t="shared" si="8"/>
        <v>01</v>
      </c>
      <c r="C137" s="145"/>
      <c r="D137" s="145"/>
      <c r="E137" s="145"/>
      <c r="F137" s="146"/>
      <c r="G137" s="141" t="s">
        <v>197</v>
      </c>
      <c r="H137" s="142"/>
      <c r="I137" s="142"/>
      <c r="J137" s="142"/>
      <c r="K137" s="142"/>
      <c r="L137" s="142"/>
      <c r="M137" s="142"/>
      <c r="N137" s="143"/>
      <c r="O137" s="81" t="s">
        <v>3167</v>
      </c>
      <c r="P137" s="134" t="s">
        <v>1537</v>
      </c>
      <c r="Q137" s="135"/>
      <c r="R137" s="135"/>
      <c r="S137" s="135"/>
      <c r="T137" s="135"/>
      <c r="U137" s="135"/>
      <c r="V137" s="135"/>
      <c r="W137" s="135"/>
      <c r="X137" s="135"/>
      <c r="Y137" s="135"/>
      <c r="Z137" s="135"/>
      <c r="AA137" s="135"/>
      <c r="AB137" s="135"/>
      <c r="AC137" s="135"/>
      <c r="AD137" s="136"/>
      <c r="AE137" s="137" t="str">
        <f t="shared" ca="1" si="64"/>
        <v>azn_202310_backup_merge_mml_sm_in_patient</v>
      </c>
      <c r="AF137" s="138"/>
      <c r="AG137" s="138"/>
      <c r="AH137" s="138"/>
      <c r="AI137" s="138"/>
      <c r="AJ137" s="138"/>
      <c r="AK137" s="138"/>
      <c r="AL137" s="139"/>
      <c r="AM137" s="137" t="str">
        <f t="shared" ca="1" si="65"/>
        <v>臨床サマリーモジュール_入院レコードテーブルから組入れ条件の第一条件で絞り込んだ結果を格納するテーブル</v>
      </c>
      <c r="AN137" s="138"/>
      <c r="AO137" s="138"/>
      <c r="AP137" s="138"/>
      <c r="AQ137" s="138"/>
      <c r="AR137" s="138"/>
      <c r="AS137" s="138"/>
      <c r="AT137" s="138"/>
      <c r="AU137" s="138"/>
      <c r="AV137" s="138"/>
      <c r="AW137" s="138"/>
      <c r="AX137" s="138"/>
      <c r="AY137" s="138"/>
      <c r="AZ137" s="138"/>
      <c r="BA137" s="138"/>
      <c r="BB137" s="138"/>
      <c r="BC137" s="138"/>
      <c r="BD137" s="138"/>
      <c r="BE137" s="138"/>
      <c r="BF137" s="138"/>
      <c r="BG137" s="138"/>
      <c r="BH137" s="138"/>
      <c r="BI137" s="138"/>
      <c r="BJ137" s="140"/>
      <c r="BK137" s="32" t="str">
        <f t="shared" si="70"/>
        <v>ENT_01_C4-25_バックアップ_臨床サマリーモジュール_入院レコード.sql</v>
      </c>
      <c r="BL137" s="32">
        <v>1</v>
      </c>
    </row>
    <row r="138" spans="1:64" ht="37.5" hidden="1" customHeight="1" outlineLevel="1">
      <c r="A138" s="34" t="str">
        <f t="shared" si="69"/>
        <v>バックアップ_臨床サマリーモジュール_経過記録レコード</v>
      </c>
      <c r="B138" s="144" t="str">
        <f t="shared" si="8"/>
        <v>01</v>
      </c>
      <c r="C138" s="145"/>
      <c r="D138" s="145"/>
      <c r="E138" s="145"/>
      <c r="F138" s="146"/>
      <c r="G138" s="141" t="s">
        <v>197</v>
      </c>
      <c r="H138" s="142"/>
      <c r="I138" s="142"/>
      <c r="J138" s="142"/>
      <c r="K138" s="142"/>
      <c r="L138" s="142"/>
      <c r="M138" s="142"/>
      <c r="N138" s="143"/>
      <c r="O138" s="81" t="s">
        <v>3168</v>
      </c>
      <c r="P138" s="134" t="s">
        <v>1563</v>
      </c>
      <c r="Q138" s="135"/>
      <c r="R138" s="135"/>
      <c r="S138" s="135"/>
      <c r="T138" s="135"/>
      <c r="U138" s="135"/>
      <c r="V138" s="135"/>
      <c r="W138" s="135"/>
      <c r="X138" s="135"/>
      <c r="Y138" s="135"/>
      <c r="Z138" s="135"/>
      <c r="AA138" s="135"/>
      <c r="AB138" s="135"/>
      <c r="AC138" s="135"/>
      <c r="AD138" s="136"/>
      <c r="AE138" s="137" t="str">
        <f t="shared" ca="1" si="64"/>
        <v>azn_202310_backup_merge_mml_sm_clinical_course</v>
      </c>
      <c r="AF138" s="138"/>
      <c r="AG138" s="138"/>
      <c r="AH138" s="138"/>
      <c r="AI138" s="138"/>
      <c r="AJ138" s="138"/>
      <c r="AK138" s="138"/>
      <c r="AL138" s="139"/>
      <c r="AM138" s="137" t="str">
        <f t="shared" ca="1" si="65"/>
        <v>臨床サマリーモジュール_経過記録レコードテーブルから組入れ条件の第一条件で絞り込んだ結果を格納するテーブル</v>
      </c>
      <c r="AN138" s="138"/>
      <c r="AO138" s="138"/>
      <c r="AP138" s="138"/>
      <c r="AQ138" s="138"/>
      <c r="AR138" s="138"/>
      <c r="AS138" s="138"/>
      <c r="AT138" s="138"/>
      <c r="AU138" s="138"/>
      <c r="AV138" s="138"/>
      <c r="AW138" s="138"/>
      <c r="AX138" s="138"/>
      <c r="AY138" s="138"/>
      <c r="AZ138" s="138"/>
      <c r="BA138" s="138"/>
      <c r="BB138" s="138"/>
      <c r="BC138" s="138"/>
      <c r="BD138" s="138"/>
      <c r="BE138" s="138"/>
      <c r="BF138" s="138"/>
      <c r="BG138" s="138"/>
      <c r="BH138" s="138"/>
      <c r="BI138" s="138"/>
      <c r="BJ138" s="140"/>
      <c r="BK138" s="32" t="str">
        <f t="shared" si="70"/>
        <v>ENT_01_C4-29_バックアップ_臨床サマリーモジュール_経過記録レコード.sql</v>
      </c>
      <c r="BL138" s="32">
        <v>1</v>
      </c>
    </row>
    <row r="139" spans="1:64" ht="37.5" hidden="1" customHeight="1" outlineLevel="1">
      <c r="A139" s="34" t="str">
        <f t="shared" si="69"/>
        <v>バックアップ_臨床サマリーモジュール_検査結果レコード</v>
      </c>
      <c r="B139" s="144" t="str">
        <f t="shared" si="8"/>
        <v>01</v>
      </c>
      <c r="C139" s="145"/>
      <c r="D139" s="145"/>
      <c r="E139" s="145"/>
      <c r="F139" s="146"/>
      <c r="G139" s="141" t="s">
        <v>197</v>
      </c>
      <c r="H139" s="142"/>
      <c r="I139" s="142"/>
      <c r="J139" s="142"/>
      <c r="K139" s="142"/>
      <c r="L139" s="142"/>
      <c r="M139" s="142"/>
      <c r="N139" s="143"/>
      <c r="O139" s="81" t="s">
        <v>3169</v>
      </c>
      <c r="P139" s="134" t="s">
        <v>1578</v>
      </c>
      <c r="Q139" s="135"/>
      <c r="R139" s="135"/>
      <c r="S139" s="135"/>
      <c r="T139" s="135"/>
      <c r="U139" s="135"/>
      <c r="V139" s="135"/>
      <c r="W139" s="135"/>
      <c r="X139" s="135"/>
      <c r="Y139" s="135"/>
      <c r="Z139" s="135"/>
      <c r="AA139" s="135"/>
      <c r="AB139" s="135"/>
      <c r="AC139" s="135"/>
      <c r="AD139" s="136"/>
      <c r="AE139" s="137" t="str">
        <f t="shared" ca="1" si="64"/>
        <v>azn_202310_backup_merge_mml_sm_test_results</v>
      </c>
      <c r="AF139" s="138"/>
      <c r="AG139" s="138"/>
      <c r="AH139" s="138"/>
      <c r="AI139" s="138"/>
      <c r="AJ139" s="138"/>
      <c r="AK139" s="138"/>
      <c r="AL139" s="139"/>
      <c r="AM139" s="137" t="str">
        <f t="shared" ca="1" si="65"/>
        <v>臨床サマリーモジュール_検査結果レコードテーブルから組入れ条件の第一条件で絞り込んだ結果を格納するテーブル</v>
      </c>
      <c r="AN139" s="138"/>
      <c r="AO139" s="138"/>
      <c r="AP139" s="138"/>
      <c r="AQ139" s="138"/>
      <c r="AR139" s="138"/>
      <c r="AS139" s="138"/>
      <c r="AT139" s="138"/>
      <c r="AU139" s="138"/>
      <c r="AV139" s="138"/>
      <c r="AW139" s="138"/>
      <c r="AX139" s="138"/>
      <c r="AY139" s="138"/>
      <c r="AZ139" s="138"/>
      <c r="BA139" s="138"/>
      <c r="BB139" s="138"/>
      <c r="BC139" s="138"/>
      <c r="BD139" s="138"/>
      <c r="BE139" s="138"/>
      <c r="BF139" s="138"/>
      <c r="BG139" s="138"/>
      <c r="BH139" s="138"/>
      <c r="BI139" s="138"/>
      <c r="BJ139" s="140"/>
      <c r="BK139" s="32" t="str">
        <f t="shared" si="70"/>
        <v>ENT_01_C4-30_バックアップ_臨床サマリーモジュール_検査結果レコード.sql</v>
      </c>
      <c r="BL139" s="32">
        <v>1</v>
      </c>
    </row>
    <row r="140" spans="1:64" ht="37.5" hidden="1" customHeight="1" outlineLevel="1">
      <c r="A140" s="34" t="str">
        <f t="shared" si="69"/>
        <v>バックアップ_検歴情報モジュール_検歴情報</v>
      </c>
      <c r="B140" s="144" t="str">
        <f t="shared" si="8"/>
        <v>01</v>
      </c>
      <c r="C140" s="145"/>
      <c r="D140" s="145"/>
      <c r="E140" s="145"/>
      <c r="F140" s="146"/>
      <c r="G140" s="141" t="s">
        <v>197</v>
      </c>
      <c r="H140" s="142"/>
      <c r="I140" s="142"/>
      <c r="J140" s="142"/>
      <c r="K140" s="142"/>
      <c r="L140" s="142"/>
      <c r="M140" s="142"/>
      <c r="N140" s="143"/>
      <c r="O140" s="81" t="s">
        <v>3170</v>
      </c>
      <c r="P140" s="134" t="s">
        <v>1588</v>
      </c>
      <c r="Q140" s="135"/>
      <c r="R140" s="135"/>
      <c r="S140" s="135"/>
      <c r="T140" s="135"/>
      <c r="U140" s="135"/>
      <c r="V140" s="135"/>
      <c r="W140" s="135"/>
      <c r="X140" s="135"/>
      <c r="Y140" s="135"/>
      <c r="Z140" s="135"/>
      <c r="AA140" s="135"/>
      <c r="AB140" s="135"/>
      <c r="AC140" s="135"/>
      <c r="AD140" s="136"/>
      <c r="AE140" s="137" t="str">
        <f t="shared" ca="1" si="64"/>
        <v>azn_202310_backup_merge_mml_lb_test</v>
      </c>
      <c r="AF140" s="138"/>
      <c r="AG140" s="138"/>
      <c r="AH140" s="138"/>
      <c r="AI140" s="138"/>
      <c r="AJ140" s="138"/>
      <c r="AK140" s="138"/>
      <c r="AL140" s="139"/>
      <c r="AM140" s="137" t="str">
        <f t="shared" ca="1" si="65"/>
        <v>検歴情報モジュール_検歴情報テーブルから組入れ条件の第一条件で絞り込んだ結果を格納するテーブル</v>
      </c>
      <c r="AN140" s="138"/>
      <c r="AO140" s="138"/>
      <c r="AP140" s="138"/>
      <c r="AQ140" s="138"/>
      <c r="AR140" s="138"/>
      <c r="AS140" s="138"/>
      <c r="AT140" s="138"/>
      <c r="AU140" s="138"/>
      <c r="AV140" s="138"/>
      <c r="AW140" s="138"/>
      <c r="AX140" s="138"/>
      <c r="AY140" s="138"/>
      <c r="AZ140" s="138"/>
      <c r="BA140" s="138"/>
      <c r="BB140" s="138"/>
      <c r="BC140" s="138"/>
      <c r="BD140" s="138"/>
      <c r="BE140" s="138"/>
      <c r="BF140" s="138"/>
      <c r="BG140" s="138"/>
      <c r="BH140" s="138"/>
      <c r="BI140" s="138"/>
      <c r="BJ140" s="140"/>
      <c r="BK140" s="32" t="str">
        <f t="shared" si="70"/>
        <v>ENT_01_C4-31_バックアップ_検歴情報モジュール_検歴情報.sql</v>
      </c>
      <c r="BL140" s="32">
        <v>1</v>
      </c>
    </row>
    <row r="141" spans="1:64" ht="37.15" hidden="1" customHeight="1" outlineLevel="1">
      <c r="A141" s="34" t="str">
        <f t="shared" si="69"/>
        <v>バックアップ_検歴情報モジュール_検歴検体材料</v>
      </c>
      <c r="B141" s="144" t="str">
        <f t="shared" si="8"/>
        <v>01</v>
      </c>
      <c r="C141" s="145"/>
      <c r="D141" s="145"/>
      <c r="E141" s="145"/>
      <c r="F141" s="146"/>
      <c r="G141" s="141" t="s">
        <v>197</v>
      </c>
      <c r="H141" s="142"/>
      <c r="I141" s="142"/>
      <c r="J141" s="142"/>
      <c r="K141" s="142"/>
      <c r="L141" s="142"/>
      <c r="M141" s="142"/>
      <c r="N141" s="143"/>
      <c r="O141" s="81" t="s">
        <v>3171</v>
      </c>
      <c r="P141" s="134" t="s">
        <v>1646</v>
      </c>
      <c r="Q141" s="135"/>
      <c r="R141" s="135"/>
      <c r="S141" s="135"/>
      <c r="T141" s="135"/>
      <c r="U141" s="135"/>
      <c r="V141" s="135"/>
      <c r="W141" s="135"/>
      <c r="X141" s="135"/>
      <c r="Y141" s="135"/>
      <c r="Z141" s="135"/>
      <c r="AA141" s="135"/>
      <c r="AB141" s="135"/>
      <c r="AC141" s="135"/>
      <c r="AD141" s="136"/>
      <c r="AE141" s="137" t="str">
        <f t="shared" ca="1" si="64"/>
        <v>azn_202310_backup_merge_mml_lb_specimen</v>
      </c>
      <c r="AF141" s="138"/>
      <c r="AG141" s="138"/>
      <c r="AH141" s="138"/>
      <c r="AI141" s="138"/>
      <c r="AJ141" s="138"/>
      <c r="AK141" s="138"/>
      <c r="AL141" s="139"/>
      <c r="AM141" s="137" t="str">
        <f t="shared" ca="1" si="65"/>
        <v>検歴情報モジュール_検歴検体材料テーブルから組入れ条件の第一条件で絞り込んだ結果を格納するテーブル</v>
      </c>
      <c r="AN141" s="138"/>
      <c r="AO141" s="138"/>
      <c r="AP141" s="138"/>
      <c r="AQ141" s="138"/>
      <c r="AR141" s="138"/>
      <c r="AS141" s="138"/>
      <c r="AT141" s="138"/>
      <c r="AU141" s="138"/>
      <c r="AV141" s="138"/>
      <c r="AW141" s="138"/>
      <c r="AX141" s="138"/>
      <c r="AY141" s="138"/>
      <c r="AZ141" s="138"/>
      <c r="BA141" s="138"/>
      <c r="BB141" s="138"/>
      <c r="BC141" s="138"/>
      <c r="BD141" s="138"/>
      <c r="BE141" s="138"/>
      <c r="BF141" s="138"/>
      <c r="BG141" s="138"/>
      <c r="BH141" s="138"/>
      <c r="BI141" s="138"/>
      <c r="BJ141" s="140"/>
      <c r="BK141" s="32" t="str">
        <f t="shared" si="70"/>
        <v>ENT_01_C4-33_バックアップ_検歴情報モジュール_検歴検体材料.sql</v>
      </c>
      <c r="BL141" s="32">
        <v>1</v>
      </c>
    </row>
    <row r="142" spans="1:64" ht="37.5" hidden="1" customHeight="1" outlineLevel="1">
      <c r="A142" s="34" t="str">
        <f t="shared" si="69"/>
        <v>バックアップ_検歴情報モジュール_検歴項目情報</v>
      </c>
      <c r="B142" s="144" t="str">
        <f t="shared" si="8"/>
        <v>01</v>
      </c>
      <c r="C142" s="145"/>
      <c r="D142" s="145"/>
      <c r="E142" s="145"/>
      <c r="F142" s="146"/>
      <c r="G142" s="141" t="s">
        <v>197</v>
      </c>
      <c r="H142" s="142"/>
      <c r="I142" s="142"/>
      <c r="J142" s="142"/>
      <c r="K142" s="142"/>
      <c r="L142" s="142"/>
      <c r="M142" s="142"/>
      <c r="N142" s="143"/>
      <c r="O142" s="81" t="s">
        <v>3172</v>
      </c>
      <c r="P142" s="134" t="s">
        <v>1665</v>
      </c>
      <c r="Q142" s="135"/>
      <c r="R142" s="135"/>
      <c r="S142" s="135"/>
      <c r="T142" s="135"/>
      <c r="U142" s="135"/>
      <c r="V142" s="135"/>
      <c r="W142" s="135"/>
      <c r="X142" s="135"/>
      <c r="Y142" s="135"/>
      <c r="Z142" s="135"/>
      <c r="AA142" s="135"/>
      <c r="AB142" s="135"/>
      <c r="AC142" s="135"/>
      <c r="AD142" s="136"/>
      <c r="AE142" s="137" t="str">
        <f t="shared" ca="1" si="64"/>
        <v>azn_202310_backup_merge_mml_lb_item</v>
      </c>
      <c r="AF142" s="138"/>
      <c r="AG142" s="138"/>
      <c r="AH142" s="138"/>
      <c r="AI142" s="138"/>
      <c r="AJ142" s="138"/>
      <c r="AK142" s="138"/>
      <c r="AL142" s="139"/>
      <c r="AM142" s="137" t="str">
        <f t="shared" ca="1" si="65"/>
        <v>検歴情報モジュール_検歴項目情報テーブルから組入れ条件の第一条件で絞り込んだ結果を格納するテーブル</v>
      </c>
      <c r="AN142" s="138"/>
      <c r="AO142" s="138"/>
      <c r="AP142" s="138"/>
      <c r="AQ142" s="138"/>
      <c r="AR142" s="138"/>
      <c r="AS142" s="138"/>
      <c r="AT142" s="138"/>
      <c r="AU142" s="138"/>
      <c r="AV142" s="138"/>
      <c r="AW142" s="138"/>
      <c r="AX142" s="138"/>
      <c r="AY142" s="138"/>
      <c r="AZ142" s="138"/>
      <c r="BA142" s="138"/>
      <c r="BB142" s="138"/>
      <c r="BC142" s="138"/>
      <c r="BD142" s="138"/>
      <c r="BE142" s="138"/>
      <c r="BF142" s="138"/>
      <c r="BG142" s="138"/>
      <c r="BH142" s="138"/>
      <c r="BI142" s="138"/>
      <c r="BJ142" s="140"/>
      <c r="BK142" s="32" t="str">
        <f t="shared" si="70"/>
        <v>ENT_01_C4-35_バックアップ_検歴情報モジュール_検歴項目情報.sql</v>
      </c>
      <c r="BL142" s="32">
        <v>1</v>
      </c>
    </row>
    <row r="143" spans="1:64" ht="37.5" hidden="1" customHeight="1" outlineLevel="1">
      <c r="A143" s="34" t="str">
        <f t="shared" ref="A143:A145" si="71">P143</f>
        <v>バックアップ_バイタルサインモジュール_バイタルサイン</v>
      </c>
      <c r="B143" s="144" t="str">
        <f t="shared" si="8"/>
        <v>01</v>
      </c>
      <c r="C143" s="145"/>
      <c r="D143" s="145"/>
      <c r="E143" s="145"/>
      <c r="F143" s="146"/>
      <c r="G143" s="141" t="s">
        <v>197</v>
      </c>
      <c r="H143" s="142"/>
      <c r="I143" s="142"/>
      <c r="J143" s="142"/>
      <c r="K143" s="142"/>
      <c r="L143" s="142"/>
      <c r="M143" s="142"/>
      <c r="N143" s="143"/>
      <c r="O143" s="81" t="s">
        <v>3173</v>
      </c>
      <c r="P143" s="134" t="s">
        <v>1723</v>
      </c>
      <c r="Q143" s="135"/>
      <c r="R143" s="135"/>
      <c r="S143" s="135"/>
      <c r="T143" s="135"/>
      <c r="U143" s="135"/>
      <c r="V143" s="135"/>
      <c r="W143" s="135"/>
      <c r="X143" s="135"/>
      <c r="Y143" s="135"/>
      <c r="Z143" s="135"/>
      <c r="AA143" s="135"/>
      <c r="AB143" s="135"/>
      <c r="AC143" s="135"/>
      <c r="AD143" s="136"/>
      <c r="AE143" s="137" t="str">
        <f t="shared" ref="AE143:AE145" ca="1" si="72">IFERROR(INDIRECT(P143&amp;"!D8"),"")</f>
        <v>azn_202310_backup_merge_mml_vs_vitalsign</v>
      </c>
      <c r="AF143" s="138"/>
      <c r="AG143" s="138"/>
      <c r="AH143" s="138"/>
      <c r="AI143" s="138"/>
      <c r="AJ143" s="138"/>
      <c r="AK143" s="138"/>
      <c r="AL143" s="139"/>
      <c r="AM143" s="137" t="str">
        <f t="shared" ref="AM143:AM145" ca="1" si="73">IFERROR(INDIRECT(P143&amp;"!D9"),"")</f>
        <v>バイタルサインモジュール_バイタルサインテーブルから組入れ条件の第一条件で絞り込んだ結果を格納するテーブル</v>
      </c>
      <c r="AN143" s="138"/>
      <c r="AO143" s="138"/>
      <c r="AP143" s="138"/>
      <c r="AQ143" s="138"/>
      <c r="AR143" s="138"/>
      <c r="AS143" s="138"/>
      <c r="AT143" s="138"/>
      <c r="AU143" s="138"/>
      <c r="AV143" s="138"/>
      <c r="AW143" s="138"/>
      <c r="AX143" s="138"/>
      <c r="AY143" s="138"/>
      <c r="AZ143" s="138"/>
      <c r="BA143" s="138"/>
      <c r="BB143" s="138"/>
      <c r="BC143" s="138"/>
      <c r="BD143" s="138"/>
      <c r="BE143" s="138"/>
      <c r="BF143" s="138"/>
      <c r="BG143" s="138"/>
      <c r="BH143" s="138"/>
      <c r="BI143" s="138"/>
      <c r="BJ143" s="140"/>
      <c r="BK143" s="32" t="str">
        <f t="shared" si="70"/>
        <v>ENT_01_C4-37_バックアップ_バイタルサインモジュール_バイタルサイン.sql</v>
      </c>
    </row>
    <row r="144" spans="1:64" ht="37.5" hidden="1" customHeight="1" outlineLevel="1">
      <c r="A144" s="34" t="str">
        <f t="shared" si="71"/>
        <v>バックアップ_バイタルサインモジュール_記録項目</v>
      </c>
      <c r="B144" s="144" t="str">
        <f t="shared" si="8"/>
        <v>01</v>
      </c>
      <c r="C144" s="145"/>
      <c r="D144" s="145"/>
      <c r="E144" s="145"/>
      <c r="F144" s="146"/>
      <c r="G144" s="141" t="s">
        <v>197</v>
      </c>
      <c r="H144" s="142"/>
      <c r="I144" s="142"/>
      <c r="J144" s="142"/>
      <c r="K144" s="142"/>
      <c r="L144" s="142"/>
      <c r="M144" s="142"/>
      <c r="N144" s="143"/>
      <c r="O144" s="81" t="s">
        <v>3174</v>
      </c>
      <c r="P144" s="134" t="s">
        <v>1760</v>
      </c>
      <c r="Q144" s="135"/>
      <c r="R144" s="135"/>
      <c r="S144" s="135"/>
      <c r="T144" s="135"/>
      <c r="U144" s="135"/>
      <c r="V144" s="135"/>
      <c r="W144" s="135"/>
      <c r="X144" s="135"/>
      <c r="Y144" s="135"/>
      <c r="Z144" s="135"/>
      <c r="AA144" s="135"/>
      <c r="AB144" s="135"/>
      <c r="AC144" s="135"/>
      <c r="AD144" s="136"/>
      <c r="AE144" s="137" t="str">
        <f t="shared" ca="1" si="72"/>
        <v>azn_202310_backup_merge_mml_vs_item</v>
      </c>
      <c r="AF144" s="138"/>
      <c r="AG144" s="138"/>
      <c r="AH144" s="138"/>
      <c r="AI144" s="138"/>
      <c r="AJ144" s="138"/>
      <c r="AK144" s="138"/>
      <c r="AL144" s="139"/>
      <c r="AM144" s="137" t="str">
        <f t="shared" ca="1" si="73"/>
        <v>バイタルサインモジュール_記録項目テーブルから組入れ条件の第一条件で絞り込んだ結果を格納するテーブル</v>
      </c>
      <c r="AN144" s="138"/>
      <c r="AO144" s="138"/>
      <c r="AP144" s="138"/>
      <c r="AQ144" s="138"/>
      <c r="AR144" s="138"/>
      <c r="AS144" s="138"/>
      <c r="AT144" s="138"/>
      <c r="AU144" s="138"/>
      <c r="AV144" s="138"/>
      <c r="AW144" s="138"/>
      <c r="AX144" s="138"/>
      <c r="AY144" s="138"/>
      <c r="AZ144" s="138"/>
      <c r="BA144" s="138"/>
      <c r="BB144" s="138"/>
      <c r="BC144" s="138"/>
      <c r="BD144" s="138"/>
      <c r="BE144" s="138"/>
      <c r="BF144" s="138"/>
      <c r="BG144" s="138"/>
      <c r="BH144" s="138"/>
      <c r="BI144" s="138"/>
      <c r="BJ144" s="140"/>
      <c r="BK144" s="32" t="str">
        <f t="shared" si="70"/>
        <v>ENT_01_C4-38_バックアップ_バイタルサインモジュール_記録項目.sql</v>
      </c>
    </row>
    <row r="145" spans="1:63" ht="37.5" hidden="1" customHeight="1" outlineLevel="1">
      <c r="A145" s="34" t="str">
        <f t="shared" si="71"/>
        <v>バックアップ_体温表モジュール_バイタルサイン</v>
      </c>
      <c r="B145" s="144" t="str">
        <f t="shared" si="8"/>
        <v>01</v>
      </c>
      <c r="C145" s="145"/>
      <c r="D145" s="145"/>
      <c r="E145" s="145"/>
      <c r="F145" s="146"/>
      <c r="G145" s="141" t="s">
        <v>197</v>
      </c>
      <c r="H145" s="142"/>
      <c r="I145" s="142"/>
      <c r="J145" s="142"/>
      <c r="K145" s="142"/>
      <c r="L145" s="142"/>
      <c r="M145" s="142"/>
      <c r="N145" s="143"/>
      <c r="O145" s="81" t="s">
        <v>3175</v>
      </c>
      <c r="P145" s="134" t="s">
        <v>1774</v>
      </c>
      <c r="Q145" s="135"/>
      <c r="R145" s="135"/>
      <c r="S145" s="135"/>
      <c r="T145" s="135"/>
      <c r="U145" s="135"/>
      <c r="V145" s="135"/>
      <c r="W145" s="135"/>
      <c r="X145" s="135"/>
      <c r="Y145" s="135"/>
      <c r="Z145" s="135"/>
      <c r="AA145" s="135"/>
      <c r="AB145" s="135"/>
      <c r="AC145" s="135"/>
      <c r="AD145" s="136"/>
      <c r="AE145" s="137" t="str">
        <f t="shared" ca="1" si="72"/>
        <v>azn_202310_backup_merge_mml_fs_vitalsign</v>
      </c>
      <c r="AF145" s="138"/>
      <c r="AG145" s="138"/>
      <c r="AH145" s="138"/>
      <c r="AI145" s="138"/>
      <c r="AJ145" s="138"/>
      <c r="AK145" s="138"/>
      <c r="AL145" s="139"/>
      <c r="AM145" s="137" t="str">
        <f t="shared" ca="1" si="73"/>
        <v>体温表モジュール_バイタルサインテーブルから組入れ条件の第一条件で絞り込んだ結果を格納するテーブル</v>
      </c>
      <c r="AN145" s="138"/>
      <c r="AO145" s="138"/>
      <c r="AP145" s="138"/>
      <c r="AQ145" s="138"/>
      <c r="AR145" s="138"/>
      <c r="AS145" s="138"/>
      <c r="AT145" s="138"/>
      <c r="AU145" s="138"/>
      <c r="AV145" s="138"/>
      <c r="AW145" s="138"/>
      <c r="AX145" s="138"/>
      <c r="AY145" s="138"/>
      <c r="AZ145" s="138"/>
      <c r="BA145" s="138"/>
      <c r="BB145" s="138"/>
      <c r="BC145" s="138"/>
      <c r="BD145" s="138"/>
      <c r="BE145" s="138"/>
      <c r="BF145" s="138"/>
      <c r="BG145" s="138"/>
      <c r="BH145" s="138"/>
      <c r="BI145" s="138"/>
      <c r="BJ145" s="140"/>
      <c r="BK145" s="32" t="str">
        <f t="shared" si="70"/>
        <v>ENT_01_C4-40_バックアップ_体温表モジュール_バイタルサイン.sql</v>
      </c>
    </row>
    <row r="146" spans="1:63" ht="37.5" hidden="1" customHeight="1" outlineLevel="1">
      <c r="A146" s="34" t="str">
        <f>P146</f>
        <v>バックアップ_体温表モジュール_記録項目</v>
      </c>
      <c r="B146" s="144" t="str">
        <f t="shared" si="8"/>
        <v>01</v>
      </c>
      <c r="C146" s="145"/>
      <c r="D146" s="145"/>
      <c r="E146" s="145"/>
      <c r="F146" s="146"/>
      <c r="G146" s="141" t="s">
        <v>197</v>
      </c>
      <c r="H146" s="142"/>
      <c r="I146" s="142"/>
      <c r="J146" s="142"/>
      <c r="K146" s="142"/>
      <c r="L146" s="142"/>
      <c r="M146" s="142"/>
      <c r="N146" s="143"/>
      <c r="O146" s="81" t="s">
        <v>3176</v>
      </c>
      <c r="P146" s="134" t="s">
        <v>1778</v>
      </c>
      <c r="Q146" s="135"/>
      <c r="R146" s="135"/>
      <c r="S146" s="135"/>
      <c r="T146" s="135"/>
      <c r="U146" s="135"/>
      <c r="V146" s="135"/>
      <c r="W146" s="135"/>
      <c r="X146" s="135"/>
      <c r="Y146" s="135"/>
      <c r="Z146" s="135"/>
      <c r="AA146" s="135"/>
      <c r="AB146" s="135"/>
      <c r="AC146" s="135"/>
      <c r="AD146" s="136"/>
      <c r="AE146" s="137" t="str">
        <f t="shared" ca="1" si="64"/>
        <v>azn_202310_backup_merge_mml_fs_item</v>
      </c>
      <c r="AF146" s="138"/>
      <c r="AG146" s="138"/>
      <c r="AH146" s="138"/>
      <c r="AI146" s="138"/>
      <c r="AJ146" s="138"/>
      <c r="AK146" s="138"/>
      <c r="AL146" s="139"/>
      <c r="AM146" s="137" t="str">
        <f t="shared" ca="1" si="65"/>
        <v>体温表モジュール_記録項目テーブルから組入れ条件の第一条件で絞り込んだ結果を格納するテーブル</v>
      </c>
      <c r="AN146" s="138"/>
      <c r="AO146" s="138"/>
      <c r="AP146" s="138"/>
      <c r="AQ146" s="138"/>
      <c r="AR146" s="138"/>
      <c r="AS146" s="138"/>
      <c r="AT146" s="138"/>
      <c r="AU146" s="138"/>
      <c r="AV146" s="138"/>
      <c r="AW146" s="138"/>
      <c r="AX146" s="138"/>
      <c r="AY146" s="138"/>
      <c r="AZ146" s="138"/>
      <c r="BA146" s="138"/>
      <c r="BB146" s="138"/>
      <c r="BC146" s="138"/>
      <c r="BD146" s="138"/>
      <c r="BE146" s="138"/>
      <c r="BF146" s="138"/>
      <c r="BG146" s="138"/>
      <c r="BH146" s="138"/>
      <c r="BI146" s="138"/>
      <c r="BJ146" s="140"/>
      <c r="BK146" s="32" t="str">
        <f t="shared" si="70"/>
        <v>ENT_01_C4-41_バックアップ_体温表モジュール_記録項目.sql</v>
      </c>
    </row>
    <row r="147" spans="1:63" ht="37.5" customHeight="1" collapsed="1" thickTop="1">
      <c r="A147" s="34" t="str">
        <f t="shared" ref="A147:A187" si="74">P147</f>
        <v>組入れ_対象施設</v>
      </c>
      <c r="B147" s="203" t="str">
        <f>TEXT(11,"00")</f>
        <v>11</v>
      </c>
      <c r="C147" s="204"/>
      <c r="D147" s="204"/>
      <c r="E147" s="204"/>
      <c r="F147" s="205"/>
      <c r="G147" s="209" t="s">
        <v>198</v>
      </c>
      <c r="H147" s="210"/>
      <c r="I147" s="210"/>
      <c r="J147" s="210"/>
      <c r="K147" s="210"/>
      <c r="L147" s="210"/>
      <c r="M147" s="210"/>
      <c r="N147" s="211"/>
      <c r="O147" s="81" t="str">
        <f>IF(P147&lt;&gt;"","ENT_"&amp;RIGHT(B147,2)&amp;"_"&amp;TEXT(ROW(O147)-ROW(O$147)+1,"00"),"")</f>
        <v>ENT_11_01</v>
      </c>
      <c r="P147" s="134" t="s">
        <v>3840</v>
      </c>
      <c r="Q147" s="135"/>
      <c r="R147" s="135"/>
      <c r="S147" s="135"/>
      <c r="T147" s="135"/>
      <c r="U147" s="135"/>
      <c r="V147" s="135"/>
      <c r="W147" s="135"/>
      <c r="X147" s="135"/>
      <c r="Y147" s="135"/>
      <c r="Z147" s="135"/>
      <c r="AA147" s="135"/>
      <c r="AB147" s="135"/>
      <c r="AC147" s="135"/>
      <c r="AD147" s="136"/>
      <c r="AE147" s="137" t="str">
        <f t="shared" ref="AE147:AE148" ca="1" si="75">IFERROR(INDIRECT(P147&amp;"!D8"),"")</f>
        <v>azn_202310_enroll_shisetsu</v>
      </c>
      <c r="AF147" s="138"/>
      <c r="AG147" s="138"/>
      <c r="AH147" s="138"/>
      <c r="AI147" s="138"/>
      <c r="AJ147" s="138"/>
      <c r="AK147" s="138"/>
      <c r="AL147" s="139"/>
      <c r="AM147" s="137" t="str">
        <f t="shared" ref="AM147:AM148" ca="1" si="76">IFERROR(INDIRECT(P147&amp;"!D9"),"")</f>
        <v>外来EF統合ファイルと様式1から組入れ条件の患者一覧を登録するテーブル</v>
      </c>
      <c r="AN147" s="138"/>
      <c r="AO147" s="138"/>
      <c r="AP147" s="138"/>
      <c r="AQ147" s="138"/>
      <c r="AR147" s="138"/>
      <c r="AS147" s="138"/>
      <c r="AT147" s="138"/>
      <c r="AU147" s="138"/>
      <c r="AV147" s="138"/>
      <c r="AW147" s="138"/>
      <c r="AX147" s="138"/>
      <c r="AY147" s="138"/>
      <c r="AZ147" s="138"/>
      <c r="BA147" s="138"/>
      <c r="BB147" s="138"/>
      <c r="BC147" s="138"/>
      <c r="BD147" s="138"/>
      <c r="BE147" s="138"/>
      <c r="BF147" s="138"/>
      <c r="BG147" s="138"/>
      <c r="BH147" s="138"/>
      <c r="BI147" s="138"/>
      <c r="BJ147" s="140"/>
      <c r="BK147" s="32" t="str">
        <f t="shared" si="39"/>
        <v>ENT_11_01_組入れ_対象施設.sql</v>
      </c>
    </row>
    <row r="148" spans="1:63" ht="37.5" customHeight="1">
      <c r="A148" s="34" t="str">
        <f t="shared" si="74"/>
        <v>組入れ_対象処方</v>
      </c>
      <c r="B148" s="144" t="str">
        <f>TEXT(11,"00")</f>
        <v>11</v>
      </c>
      <c r="C148" s="145"/>
      <c r="D148" s="145"/>
      <c r="E148" s="145"/>
      <c r="F148" s="146"/>
      <c r="G148" s="141" t="s">
        <v>198</v>
      </c>
      <c r="H148" s="142"/>
      <c r="I148" s="142"/>
      <c r="J148" s="142"/>
      <c r="K148" s="142"/>
      <c r="L148" s="142"/>
      <c r="M148" s="142"/>
      <c r="N148" s="143"/>
      <c r="O148" s="81" t="str">
        <f>IF(P148&lt;&gt;"","ENT_"&amp;RIGHT(B148,2)&amp;"_"&amp;TEXT(ROW(O148)-ROW(O$147)+1,"00"),"")</f>
        <v>ENT_11_02</v>
      </c>
      <c r="P148" s="134" t="s">
        <v>3841</v>
      </c>
      <c r="Q148" s="135"/>
      <c r="R148" s="135"/>
      <c r="S148" s="135"/>
      <c r="T148" s="135"/>
      <c r="U148" s="135"/>
      <c r="V148" s="135"/>
      <c r="W148" s="135"/>
      <c r="X148" s="135"/>
      <c r="Y148" s="135"/>
      <c r="Z148" s="135"/>
      <c r="AA148" s="135"/>
      <c r="AB148" s="135"/>
      <c r="AC148" s="135"/>
      <c r="AD148" s="136"/>
      <c r="AE148" s="137" t="str">
        <f t="shared" ca="1" si="75"/>
        <v>azn_202310_enroll_shoho</v>
      </c>
      <c r="AF148" s="138"/>
      <c r="AG148" s="138"/>
      <c r="AH148" s="138"/>
      <c r="AI148" s="138"/>
      <c r="AJ148" s="138"/>
      <c r="AK148" s="138"/>
      <c r="AL148" s="139"/>
      <c r="AM148" s="137">
        <f t="shared" ca="1" si="76"/>
        <v>0</v>
      </c>
      <c r="AN148" s="138"/>
      <c r="AO148" s="138"/>
      <c r="AP148" s="138"/>
      <c r="AQ148" s="138"/>
      <c r="AR148" s="138"/>
      <c r="AS148" s="138"/>
      <c r="AT148" s="138"/>
      <c r="AU148" s="138"/>
      <c r="AV148" s="138"/>
      <c r="AW148" s="138"/>
      <c r="AX148" s="138"/>
      <c r="AY148" s="138"/>
      <c r="AZ148" s="138"/>
      <c r="BA148" s="138"/>
      <c r="BB148" s="138"/>
      <c r="BC148" s="138"/>
      <c r="BD148" s="138"/>
      <c r="BE148" s="138"/>
      <c r="BF148" s="138"/>
      <c r="BG148" s="138"/>
      <c r="BH148" s="138"/>
      <c r="BI148" s="138"/>
      <c r="BJ148" s="140"/>
      <c r="BK148" s="32" t="str">
        <f t="shared" ref="BK148" si="77">IF(P148&lt;&gt;"",O148&amp;"_"&amp;P148&amp;".sql","")</f>
        <v>ENT_11_02_組入れ_対象処方.sql</v>
      </c>
    </row>
    <row r="149" spans="1:63" ht="37.5" customHeight="1">
      <c r="A149" s="34" t="str">
        <f t="shared" ref="A149" si="78">P149</f>
        <v>組入れ_対象患者</v>
      </c>
      <c r="B149" s="144" t="str">
        <f>TEXT(11,"00")</f>
        <v>11</v>
      </c>
      <c r="C149" s="145"/>
      <c r="D149" s="145"/>
      <c r="E149" s="145"/>
      <c r="F149" s="146"/>
      <c r="G149" s="141" t="s">
        <v>198</v>
      </c>
      <c r="H149" s="142"/>
      <c r="I149" s="142"/>
      <c r="J149" s="142"/>
      <c r="K149" s="142"/>
      <c r="L149" s="142"/>
      <c r="M149" s="142"/>
      <c r="N149" s="143"/>
      <c r="O149" s="81" t="str">
        <f>IF(P149&lt;&gt;"","ENT_"&amp;RIGHT(B149,2)&amp;"_"&amp;TEXT(ROW(O149)-ROW(O$147)+1,"00"),"")</f>
        <v>ENT_11_03</v>
      </c>
      <c r="P149" s="134" t="s">
        <v>305</v>
      </c>
      <c r="Q149" s="135"/>
      <c r="R149" s="135"/>
      <c r="S149" s="135"/>
      <c r="T149" s="135"/>
      <c r="U149" s="135"/>
      <c r="V149" s="135"/>
      <c r="W149" s="135"/>
      <c r="X149" s="135"/>
      <c r="Y149" s="135"/>
      <c r="Z149" s="135"/>
      <c r="AA149" s="135"/>
      <c r="AB149" s="135"/>
      <c r="AC149" s="135"/>
      <c r="AD149" s="136"/>
      <c r="AE149" s="137" t="str">
        <f t="shared" ref="AE149" ca="1" si="79">IFERROR(INDIRECT(P149&amp;"!D8"),"")</f>
        <v>azn_202310_enroll_kanja</v>
      </c>
      <c r="AF149" s="138"/>
      <c r="AG149" s="138"/>
      <c r="AH149" s="138"/>
      <c r="AI149" s="138"/>
      <c r="AJ149" s="138"/>
      <c r="AK149" s="138"/>
      <c r="AL149" s="139"/>
      <c r="AM149" s="137">
        <f t="shared" ref="AM149" ca="1" si="80">IFERROR(INDIRECT(P149&amp;"!D9"),"")</f>
        <v>0</v>
      </c>
      <c r="AN149" s="138"/>
      <c r="AO149" s="138"/>
      <c r="AP149" s="138"/>
      <c r="AQ149" s="138"/>
      <c r="AR149" s="138"/>
      <c r="AS149" s="138"/>
      <c r="AT149" s="138"/>
      <c r="AU149" s="138"/>
      <c r="AV149" s="138"/>
      <c r="AW149" s="138"/>
      <c r="AX149" s="138"/>
      <c r="AY149" s="138"/>
      <c r="AZ149" s="138"/>
      <c r="BA149" s="138"/>
      <c r="BB149" s="138"/>
      <c r="BC149" s="138"/>
      <c r="BD149" s="138"/>
      <c r="BE149" s="138"/>
      <c r="BF149" s="138"/>
      <c r="BG149" s="138"/>
      <c r="BH149" s="138"/>
      <c r="BI149" s="138"/>
      <c r="BJ149" s="140"/>
      <c r="BK149" s="32" t="str">
        <f t="shared" si="39"/>
        <v>ENT_11_03_組入れ_対象患者.sql</v>
      </c>
    </row>
    <row r="150" spans="1:63" ht="37.5" customHeight="1">
      <c r="A150" s="34" t="str">
        <f t="shared" si="74"/>
        <v>患者マスタ</v>
      </c>
      <c r="B150" s="203" t="str">
        <f>TEXT(21,"00")</f>
        <v>21</v>
      </c>
      <c r="C150" s="204"/>
      <c r="D150" s="204"/>
      <c r="E150" s="204"/>
      <c r="F150" s="205"/>
      <c r="G150" s="209" t="s">
        <v>306</v>
      </c>
      <c r="H150" s="210"/>
      <c r="I150" s="210"/>
      <c r="J150" s="210"/>
      <c r="K150" s="210"/>
      <c r="L150" s="210"/>
      <c r="M150" s="210"/>
      <c r="N150" s="211"/>
      <c r="O150" s="81" t="str">
        <f>IF(P150&lt;&gt;"","ENT_"&amp;RIGHT(B150,2)&amp;"_"&amp;TEXT(ROW(O150)-ROW(O$150)+1,"00"),"")</f>
        <v>ENT_21_01</v>
      </c>
      <c r="P150" s="134" t="s">
        <v>307</v>
      </c>
      <c r="Q150" s="135"/>
      <c r="R150" s="135"/>
      <c r="S150" s="135"/>
      <c r="T150" s="135"/>
      <c r="U150" s="135"/>
      <c r="V150" s="135"/>
      <c r="W150" s="135"/>
      <c r="X150" s="135"/>
      <c r="Y150" s="135"/>
      <c r="Z150" s="135"/>
      <c r="AA150" s="135"/>
      <c r="AB150" s="135"/>
      <c r="AC150" s="135"/>
      <c r="AD150" s="136"/>
      <c r="AE150" s="137" t="str">
        <f ca="1">IFERROR(INDIRECT(P150&amp;"!D8"),"")</f>
        <v>azn_202310_mt_kanja</v>
      </c>
      <c r="AF150" s="138"/>
      <c r="AG150" s="138"/>
      <c r="AH150" s="138"/>
      <c r="AI150" s="138"/>
      <c r="AJ150" s="138"/>
      <c r="AK150" s="138"/>
      <c r="AL150" s="139"/>
      <c r="AM150" s="137" t="str">
        <f ca="1">IFERROR(INDIRECT(P150&amp;"!D9"),"")</f>
        <v>組入れ_対象患者から組入れ_対象患者_複数性別除外対象に存在する患者を除外した患者を登録するテーブル</v>
      </c>
      <c r="AN150" s="138"/>
      <c r="AO150" s="138"/>
      <c r="AP150" s="138"/>
      <c r="AQ150" s="138"/>
      <c r="AR150" s="138"/>
      <c r="AS150" s="138"/>
      <c r="AT150" s="138"/>
      <c r="AU150" s="138"/>
      <c r="AV150" s="138"/>
      <c r="AW150" s="138"/>
      <c r="AX150" s="138"/>
      <c r="AY150" s="138"/>
      <c r="AZ150" s="138"/>
      <c r="BA150" s="138"/>
      <c r="BB150" s="138"/>
      <c r="BC150" s="138"/>
      <c r="BD150" s="138"/>
      <c r="BE150" s="138"/>
      <c r="BF150" s="138"/>
      <c r="BG150" s="138"/>
      <c r="BH150" s="138"/>
      <c r="BI150" s="138"/>
      <c r="BJ150" s="140"/>
      <c r="BK150" s="32" t="str">
        <f t="shared" si="39"/>
        <v>ENT_21_01_患者マスタ.sql</v>
      </c>
    </row>
    <row r="151" spans="1:63" ht="37.5" customHeight="1">
      <c r="A151" s="34" t="str">
        <f t="shared" si="74"/>
        <v>疾患マスタ</v>
      </c>
      <c r="B151" s="144" t="str">
        <f>TEXT(21,"00")</f>
        <v>21</v>
      </c>
      <c r="C151" s="145"/>
      <c r="D151" s="145"/>
      <c r="E151" s="145"/>
      <c r="F151" s="146"/>
      <c r="G151" s="141" t="s">
        <v>306</v>
      </c>
      <c r="H151" s="142"/>
      <c r="I151" s="142"/>
      <c r="J151" s="142"/>
      <c r="K151" s="142"/>
      <c r="L151" s="142"/>
      <c r="M151" s="142"/>
      <c r="N151" s="143"/>
      <c r="O151" s="81" t="str">
        <f>IF(P151&lt;&gt;"","ENT_"&amp;RIGHT(B151,2)&amp;"_"&amp;TEXT(ROW(O151)-ROW(O$150)+1,"00"),"")</f>
        <v>ENT_21_02</v>
      </c>
      <c r="P151" s="134" t="s">
        <v>308</v>
      </c>
      <c r="Q151" s="135"/>
      <c r="R151" s="135"/>
      <c r="S151" s="135"/>
      <c r="T151" s="135"/>
      <c r="U151" s="135"/>
      <c r="V151" s="135"/>
      <c r="W151" s="135"/>
      <c r="X151" s="135"/>
      <c r="Y151" s="135"/>
      <c r="Z151" s="135"/>
      <c r="AA151" s="135"/>
      <c r="AB151" s="135"/>
      <c r="AC151" s="135"/>
      <c r="AD151" s="136"/>
      <c r="AE151" s="137" t="str">
        <f ca="1">IFERROR(INDIRECT(P151&amp;"!D8"),"")</f>
        <v>azn_202310_mt_xxxx</v>
      </c>
      <c r="AF151" s="138"/>
      <c r="AG151" s="138"/>
      <c r="AH151" s="138"/>
      <c r="AI151" s="138"/>
      <c r="AJ151" s="138"/>
      <c r="AK151" s="138"/>
      <c r="AL151" s="139"/>
      <c r="AM151" s="137" t="str">
        <f ca="1">IFERROR(INDIRECT(P151&amp;"!D9"),"")</f>
        <v>MDV案件_疾患マスタ（補正後）を登録するテーブル</v>
      </c>
      <c r="AN151" s="138"/>
      <c r="AO151" s="138"/>
      <c r="AP151" s="138"/>
      <c r="AQ151" s="138"/>
      <c r="AR151" s="138"/>
      <c r="AS151" s="138"/>
      <c r="AT151" s="138"/>
      <c r="AU151" s="138"/>
      <c r="AV151" s="138"/>
      <c r="AW151" s="138"/>
      <c r="AX151" s="138"/>
      <c r="AY151" s="138"/>
      <c r="AZ151" s="138"/>
      <c r="BA151" s="138"/>
      <c r="BB151" s="138"/>
      <c r="BC151" s="138"/>
      <c r="BD151" s="138"/>
      <c r="BE151" s="138"/>
      <c r="BF151" s="138"/>
      <c r="BG151" s="138"/>
      <c r="BH151" s="138"/>
      <c r="BI151" s="138"/>
      <c r="BJ151" s="140"/>
      <c r="BK151" s="32" t="str">
        <f t="shared" si="39"/>
        <v>ENT_21_02_疾患マスタ.sql</v>
      </c>
    </row>
    <row r="152" spans="1:63" ht="37.5" customHeight="1">
      <c r="A152" s="34" t="str">
        <f t="shared" ref="A152" si="81">P152</f>
        <v>薬剤マスタ</v>
      </c>
      <c r="B152" s="144" t="str">
        <f>TEXT(21,"00")</f>
        <v>21</v>
      </c>
      <c r="C152" s="145"/>
      <c r="D152" s="145"/>
      <c r="E152" s="145"/>
      <c r="F152" s="146"/>
      <c r="G152" s="141" t="s">
        <v>306</v>
      </c>
      <c r="H152" s="142"/>
      <c r="I152" s="142"/>
      <c r="J152" s="142"/>
      <c r="K152" s="142"/>
      <c r="L152" s="142"/>
      <c r="M152" s="142"/>
      <c r="N152" s="143"/>
      <c r="O152" s="81" t="str">
        <f>IF(P152&lt;&gt;"","ENT_"&amp;RIGHT(B152,2)&amp;"_"&amp;TEXT(ROW(O152)-ROW(O$150)+1,"00"),"")</f>
        <v>ENT_21_03</v>
      </c>
      <c r="P152" s="134" t="s">
        <v>3727</v>
      </c>
      <c r="Q152" s="135"/>
      <c r="R152" s="135"/>
      <c r="S152" s="135"/>
      <c r="T152" s="135"/>
      <c r="U152" s="135"/>
      <c r="V152" s="135"/>
      <c r="W152" s="135"/>
      <c r="X152" s="135"/>
      <c r="Y152" s="135"/>
      <c r="Z152" s="135"/>
      <c r="AA152" s="135"/>
      <c r="AB152" s="135"/>
      <c r="AC152" s="135"/>
      <c r="AD152" s="136"/>
      <c r="AE152" s="137" t="str">
        <f ca="1">IFERROR(INDIRECT(P152&amp;"!D8"),"")</f>
        <v/>
      </c>
      <c r="AF152" s="138"/>
      <c r="AG152" s="138"/>
      <c r="AH152" s="138"/>
      <c r="AI152" s="138"/>
      <c r="AJ152" s="138"/>
      <c r="AK152" s="138"/>
      <c r="AL152" s="139"/>
      <c r="AM152" s="137" t="str">
        <f ca="1">IFERROR(INDIRECT(P152&amp;"!D9"),"")</f>
        <v/>
      </c>
      <c r="AN152" s="138"/>
      <c r="AO152" s="138"/>
      <c r="AP152" s="138"/>
      <c r="AQ152" s="138"/>
      <c r="AR152" s="138"/>
      <c r="AS152" s="138"/>
      <c r="AT152" s="138"/>
      <c r="AU152" s="138"/>
      <c r="AV152" s="138"/>
      <c r="AW152" s="138"/>
      <c r="AX152" s="138"/>
      <c r="AY152" s="138"/>
      <c r="AZ152" s="138"/>
      <c r="BA152" s="138"/>
      <c r="BB152" s="138"/>
      <c r="BC152" s="138"/>
      <c r="BD152" s="138"/>
      <c r="BE152" s="138"/>
      <c r="BF152" s="138"/>
      <c r="BG152" s="138"/>
      <c r="BH152" s="138"/>
      <c r="BI152" s="138"/>
      <c r="BJ152" s="140"/>
      <c r="BK152" s="32" t="str">
        <f t="shared" ref="BK152" si="82">IF(P152&lt;&gt;"",O152&amp;"_"&amp;P152&amp;".sql","")</f>
        <v>ENT_21_03_薬剤マスタ.sql</v>
      </c>
    </row>
    <row r="153" spans="1:63" ht="37.5" customHeight="1">
      <c r="A153" s="34" t="str">
        <f t="shared" ref="A153" si="83">P153</f>
        <v>MML薬剤マスタ</v>
      </c>
      <c r="B153" s="144" t="str">
        <f>TEXT(21,"00")</f>
        <v>21</v>
      </c>
      <c r="C153" s="145"/>
      <c r="D153" s="145"/>
      <c r="E153" s="145"/>
      <c r="F153" s="146"/>
      <c r="G153" s="141" t="s">
        <v>306</v>
      </c>
      <c r="H153" s="142"/>
      <c r="I153" s="142"/>
      <c r="J153" s="142"/>
      <c r="K153" s="142"/>
      <c r="L153" s="142"/>
      <c r="M153" s="142"/>
      <c r="N153" s="143"/>
      <c r="O153" s="81" t="str">
        <f>IF(P153&lt;&gt;"","ENT_"&amp;RIGHT(B153,2)&amp;"_"&amp;TEXT(ROW(O153)-ROW(O$150)+1,"00"),"")</f>
        <v>ENT_21_04</v>
      </c>
      <c r="P153" s="134" t="s">
        <v>3728</v>
      </c>
      <c r="Q153" s="135"/>
      <c r="R153" s="135"/>
      <c r="S153" s="135"/>
      <c r="T153" s="135"/>
      <c r="U153" s="135"/>
      <c r="V153" s="135"/>
      <c r="W153" s="135"/>
      <c r="X153" s="135"/>
      <c r="Y153" s="135"/>
      <c r="Z153" s="135"/>
      <c r="AA153" s="135"/>
      <c r="AB153" s="135"/>
      <c r="AC153" s="135"/>
      <c r="AD153" s="136"/>
      <c r="AE153" s="137" t="str">
        <f ca="1">IFERROR(INDIRECT(P153&amp;"!D8"),"")</f>
        <v/>
      </c>
      <c r="AF153" s="138"/>
      <c r="AG153" s="138"/>
      <c r="AH153" s="138"/>
      <c r="AI153" s="138"/>
      <c r="AJ153" s="138"/>
      <c r="AK153" s="138"/>
      <c r="AL153" s="139"/>
      <c r="AM153" s="137" t="str">
        <f ca="1">IFERROR(INDIRECT(P153&amp;"!D9"),"")</f>
        <v/>
      </c>
      <c r="AN153" s="138"/>
      <c r="AO153" s="138"/>
      <c r="AP153" s="138"/>
      <c r="AQ153" s="138"/>
      <c r="AR153" s="138"/>
      <c r="AS153" s="138"/>
      <c r="AT153" s="138"/>
      <c r="AU153" s="138"/>
      <c r="AV153" s="138"/>
      <c r="AW153" s="138"/>
      <c r="AX153" s="138"/>
      <c r="AY153" s="138"/>
      <c r="AZ153" s="138"/>
      <c r="BA153" s="138"/>
      <c r="BB153" s="138"/>
      <c r="BC153" s="138"/>
      <c r="BD153" s="138"/>
      <c r="BE153" s="138"/>
      <c r="BF153" s="138"/>
      <c r="BG153" s="138"/>
      <c r="BH153" s="138"/>
      <c r="BI153" s="138"/>
      <c r="BJ153" s="140"/>
      <c r="BK153" s="32" t="str">
        <f t="shared" ref="BK153" si="84">IF(P153&lt;&gt;"",O153&amp;"_"&amp;P153&amp;".sql","")</f>
        <v>ENT_21_04_MML薬剤マスタ.sql</v>
      </c>
    </row>
    <row r="154" spans="1:63" ht="37.5" hidden="1" customHeight="1" outlineLevel="1">
      <c r="A154" s="34" t="str">
        <f t="shared" si="74"/>
        <v>ベース_処方データ</v>
      </c>
      <c r="B154" s="203" t="str">
        <f>TEXT(31,"00")</f>
        <v>31</v>
      </c>
      <c r="C154" s="204"/>
      <c r="D154" s="204"/>
      <c r="E154" s="204"/>
      <c r="F154" s="205"/>
      <c r="G154" s="209" t="s">
        <v>309</v>
      </c>
      <c r="H154" s="210"/>
      <c r="I154" s="210"/>
      <c r="J154" s="210"/>
      <c r="K154" s="210"/>
      <c r="L154" s="210"/>
      <c r="M154" s="210"/>
      <c r="N154" s="211"/>
      <c r="O154" s="81" t="str">
        <f>IF(P154&lt;&gt;"","ENT_"&amp;RIGHT(B154,2)&amp;"_"&amp;TEXT(ROW(O154)-ROW(O$154)+1,"00"),"")</f>
        <v>ENT_31_01</v>
      </c>
      <c r="P154" s="134" t="s">
        <v>3757</v>
      </c>
      <c r="Q154" s="135"/>
      <c r="R154" s="135"/>
      <c r="S154" s="135"/>
      <c r="T154" s="135"/>
      <c r="U154" s="135"/>
      <c r="V154" s="135"/>
      <c r="W154" s="135"/>
      <c r="X154" s="135"/>
      <c r="Y154" s="135"/>
      <c r="Z154" s="135"/>
      <c r="AA154" s="135"/>
      <c r="AB154" s="135"/>
      <c r="AC154" s="135"/>
      <c r="AD154" s="136"/>
      <c r="AE154" s="137" t="str">
        <f t="shared" ref="AE154" ca="1" si="85">IFERROR(INDIRECT(P154&amp;"!D8"),"")</f>
        <v>azn_202310_base_mart_shohou</v>
      </c>
      <c r="AF154" s="138"/>
      <c r="AG154" s="138"/>
      <c r="AH154" s="138"/>
      <c r="AI154" s="138"/>
      <c r="AJ154" s="138"/>
      <c r="AK154" s="138"/>
      <c r="AL154" s="139"/>
      <c r="AM154" s="137" t="str">
        <f t="shared" ref="AM154" ca="1" si="86">IFERROR(INDIRECT(P154&amp;"!D9"),"")</f>
        <v>バックアップ_処方データテーブルから対象患者で絞り込んだ結果を格納するテーブル</v>
      </c>
      <c r="AN154" s="138"/>
      <c r="AO154" s="138"/>
      <c r="AP154" s="138"/>
      <c r="AQ154" s="138"/>
      <c r="AR154" s="138"/>
      <c r="AS154" s="138"/>
      <c r="AT154" s="138"/>
      <c r="AU154" s="138"/>
      <c r="AV154" s="138"/>
      <c r="AW154" s="138"/>
      <c r="AX154" s="138"/>
      <c r="AY154" s="138"/>
      <c r="AZ154" s="138"/>
      <c r="BA154" s="138"/>
      <c r="BB154" s="138"/>
      <c r="BC154" s="138"/>
      <c r="BD154" s="138"/>
      <c r="BE154" s="138"/>
      <c r="BF154" s="138"/>
      <c r="BG154" s="138"/>
      <c r="BH154" s="138"/>
      <c r="BI154" s="138"/>
      <c r="BJ154" s="140"/>
      <c r="BK154" s="32" t="str">
        <f t="shared" si="39"/>
        <v>ENT_31_01_ベース_処方データ.sql</v>
      </c>
    </row>
    <row r="155" spans="1:63" ht="37.5" hidden="1" customHeight="1" outlineLevel="1">
      <c r="A155" s="34" t="str">
        <f t="shared" ref="A155:A182" si="87">P155</f>
        <v>ベース_診療行為データ</v>
      </c>
      <c r="B155" s="144" t="str">
        <f t="shared" ref="B155:B182" si="88">TEXT(31,"00")</f>
        <v>31</v>
      </c>
      <c r="C155" s="145"/>
      <c r="D155" s="145"/>
      <c r="E155" s="145"/>
      <c r="F155" s="146"/>
      <c r="G155" s="141" t="s">
        <v>309</v>
      </c>
      <c r="H155" s="142"/>
      <c r="I155" s="142"/>
      <c r="J155" s="142"/>
      <c r="K155" s="142"/>
      <c r="L155" s="142"/>
      <c r="M155" s="142"/>
      <c r="N155" s="143"/>
      <c r="O155" s="81" t="str">
        <f t="shared" ref="O155:O182" si="89">IF(P155&lt;&gt;"","ENT_"&amp;RIGHT(B155,2)&amp;"_"&amp;TEXT(ROW(O155)-ROW(O$154)+1,"00"),"")</f>
        <v>ENT_31_02</v>
      </c>
      <c r="P155" s="134" t="s">
        <v>3758</v>
      </c>
      <c r="Q155" s="135"/>
      <c r="R155" s="135"/>
      <c r="S155" s="135"/>
      <c r="T155" s="135"/>
      <c r="U155" s="135"/>
      <c r="V155" s="135"/>
      <c r="W155" s="135"/>
      <c r="X155" s="135"/>
      <c r="Y155" s="135"/>
      <c r="Z155" s="135"/>
      <c r="AA155" s="135"/>
      <c r="AB155" s="135"/>
      <c r="AC155" s="135"/>
      <c r="AD155" s="136"/>
      <c r="AE155" s="137" t="str">
        <f t="shared" ref="AE155:AE182" ca="1" si="90">IFERROR(INDIRECT(P155&amp;"!D8"),"")</f>
        <v>azn_202310_base_mart_shinryou_koui</v>
      </c>
      <c r="AF155" s="138"/>
      <c r="AG155" s="138"/>
      <c r="AH155" s="138"/>
      <c r="AI155" s="138"/>
      <c r="AJ155" s="138"/>
      <c r="AK155" s="138"/>
      <c r="AL155" s="139"/>
      <c r="AM155" s="137" t="str">
        <f t="shared" ref="AM155:AM182" ca="1" si="91">IFERROR(INDIRECT(P155&amp;"!D9"),"")</f>
        <v>バックアップ_診療行為データテーブルから対象患者で絞り込んだ結果を格納するテーブル</v>
      </c>
      <c r="AN155" s="138"/>
      <c r="AO155" s="138"/>
      <c r="AP155" s="138"/>
      <c r="AQ155" s="138"/>
      <c r="AR155" s="138"/>
      <c r="AS155" s="138"/>
      <c r="AT155" s="138"/>
      <c r="AU155" s="138"/>
      <c r="AV155" s="138"/>
      <c r="AW155" s="138"/>
      <c r="AX155" s="138"/>
      <c r="AY155" s="138"/>
      <c r="AZ155" s="138"/>
      <c r="BA155" s="138"/>
      <c r="BB155" s="138"/>
      <c r="BC155" s="138"/>
      <c r="BD155" s="138"/>
      <c r="BE155" s="138"/>
      <c r="BF155" s="138"/>
      <c r="BG155" s="138"/>
      <c r="BH155" s="138"/>
      <c r="BI155" s="138"/>
      <c r="BJ155" s="140"/>
      <c r="BK155" s="32" t="str">
        <f t="shared" ref="BK155:BK182" si="92">IF(P155&lt;&gt;"",O155&amp;"_"&amp;P155&amp;".sql","")</f>
        <v>ENT_31_02_ベース_診療行為データ.sql</v>
      </c>
    </row>
    <row r="156" spans="1:63" ht="37.5" hidden="1" customHeight="1" outlineLevel="1">
      <c r="A156" s="34" t="str">
        <f t="shared" si="87"/>
        <v>ベース_入院退院データ</v>
      </c>
      <c r="B156" s="144" t="str">
        <f t="shared" si="88"/>
        <v>31</v>
      </c>
      <c r="C156" s="145"/>
      <c r="D156" s="145"/>
      <c r="E156" s="145"/>
      <c r="F156" s="146"/>
      <c r="G156" s="141" t="s">
        <v>309</v>
      </c>
      <c r="H156" s="142"/>
      <c r="I156" s="142"/>
      <c r="J156" s="142"/>
      <c r="K156" s="142"/>
      <c r="L156" s="142"/>
      <c r="M156" s="142"/>
      <c r="N156" s="143"/>
      <c r="O156" s="81" t="str">
        <f t="shared" si="89"/>
        <v>ENT_31_03</v>
      </c>
      <c r="P156" s="134" t="s">
        <v>3759</v>
      </c>
      <c r="Q156" s="135"/>
      <c r="R156" s="135"/>
      <c r="S156" s="135"/>
      <c r="T156" s="135"/>
      <c r="U156" s="135"/>
      <c r="V156" s="135"/>
      <c r="W156" s="135"/>
      <c r="X156" s="135"/>
      <c r="Y156" s="135"/>
      <c r="Z156" s="135"/>
      <c r="AA156" s="135"/>
      <c r="AB156" s="135"/>
      <c r="AC156" s="135"/>
      <c r="AD156" s="136"/>
      <c r="AE156" s="137" t="str">
        <f t="shared" ca="1" si="90"/>
        <v>azn_202310_base_mart_nyu_tai_in</v>
      </c>
      <c r="AF156" s="138"/>
      <c r="AG156" s="138"/>
      <c r="AH156" s="138"/>
      <c r="AI156" s="138"/>
      <c r="AJ156" s="138"/>
      <c r="AK156" s="138"/>
      <c r="AL156" s="139"/>
      <c r="AM156" s="137" t="str">
        <f t="shared" ca="1" si="91"/>
        <v>バックアップ_入院退院データテーブルから対象患者で絞り込んだ結果を格納するテーブル</v>
      </c>
      <c r="AN156" s="138"/>
      <c r="AO156" s="138"/>
      <c r="AP156" s="138"/>
      <c r="AQ156" s="138"/>
      <c r="AR156" s="138"/>
      <c r="AS156" s="138"/>
      <c r="AT156" s="138"/>
      <c r="AU156" s="138"/>
      <c r="AV156" s="138"/>
      <c r="AW156" s="138"/>
      <c r="AX156" s="138"/>
      <c r="AY156" s="138"/>
      <c r="AZ156" s="138"/>
      <c r="BA156" s="138"/>
      <c r="BB156" s="138"/>
      <c r="BC156" s="138"/>
      <c r="BD156" s="138"/>
      <c r="BE156" s="138"/>
      <c r="BF156" s="138"/>
      <c r="BG156" s="138"/>
      <c r="BH156" s="138"/>
      <c r="BI156" s="138"/>
      <c r="BJ156" s="140"/>
      <c r="BK156" s="32" t="str">
        <f t="shared" si="92"/>
        <v>ENT_31_03_ベース_入院退院データ.sql</v>
      </c>
    </row>
    <row r="157" spans="1:63" ht="37.5" hidden="1" customHeight="1" outlineLevel="1">
      <c r="A157" s="34" t="str">
        <f t="shared" si="87"/>
        <v>ベース_患者基本データ</v>
      </c>
      <c r="B157" s="144" t="str">
        <f t="shared" si="88"/>
        <v>31</v>
      </c>
      <c r="C157" s="145"/>
      <c r="D157" s="145"/>
      <c r="E157" s="145"/>
      <c r="F157" s="146"/>
      <c r="G157" s="141" t="s">
        <v>309</v>
      </c>
      <c r="H157" s="142"/>
      <c r="I157" s="142"/>
      <c r="J157" s="142"/>
      <c r="K157" s="142"/>
      <c r="L157" s="142"/>
      <c r="M157" s="142"/>
      <c r="N157" s="143"/>
      <c r="O157" s="81" t="str">
        <f t="shared" si="89"/>
        <v>ENT_31_04</v>
      </c>
      <c r="P157" s="134" t="s">
        <v>3760</v>
      </c>
      <c r="Q157" s="135"/>
      <c r="R157" s="135"/>
      <c r="S157" s="135"/>
      <c r="T157" s="135"/>
      <c r="U157" s="135"/>
      <c r="V157" s="135"/>
      <c r="W157" s="135"/>
      <c r="X157" s="135"/>
      <c r="Y157" s="135"/>
      <c r="Z157" s="135"/>
      <c r="AA157" s="135"/>
      <c r="AB157" s="135"/>
      <c r="AC157" s="135"/>
      <c r="AD157" s="136"/>
      <c r="AE157" s="137" t="str">
        <f t="shared" ca="1" si="90"/>
        <v>azn_202310_base_mart_patient_basic</v>
      </c>
      <c r="AF157" s="138"/>
      <c r="AG157" s="138"/>
      <c r="AH157" s="138"/>
      <c r="AI157" s="138"/>
      <c r="AJ157" s="138"/>
      <c r="AK157" s="138"/>
      <c r="AL157" s="139"/>
      <c r="AM157" s="137" t="str">
        <f t="shared" ca="1" si="91"/>
        <v>バックアップ_患者基本データテーブルから対象患者で絞り込んだ結果を格納するテーブル</v>
      </c>
      <c r="AN157" s="138"/>
      <c r="AO157" s="138"/>
      <c r="AP157" s="138"/>
      <c r="AQ157" s="138"/>
      <c r="AR157" s="138"/>
      <c r="AS157" s="138"/>
      <c r="AT157" s="138"/>
      <c r="AU157" s="138"/>
      <c r="AV157" s="138"/>
      <c r="AW157" s="138"/>
      <c r="AX157" s="138"/>
      <c r="AY157" s="138"/>
      <c r="AZ157" s="138"/>
      <c r="BA157" s="138"/>
      <c r="BB157" s="138"/>
      <c r="BC157" s="138"/>
      <c r="BD157" s="138"/>
      <c r="BE157" s="138"/>
      <c r="BF157" s="138"/>
      <c r="BG157" s="138"/>
      <c r="BH157" s="138"/>
      <c r="BI157" s="138"/>
      <c r="BJ157" s="140"/>
      <c r="BK157" s="32" t="str">
        <f t="shared" si="92"/>
        <v>ENT_31_04_ベース_患者基本データ.sql</v>
      </c>
    </row>
    <row r="158" spans="1:63" ht="37.5" hidden="1" customHeight="1" outlineLevel="1">
      <c r="A158" s="34" t="str">
        <f t="shared" si="87"/>
        <v>ベース_MML共通</v>
      </c>
      <c r="B158" s="144" t="str">
        <f t="shared" si="88"/>
        <v>31</v>
      </c>
      <c r="C158" s="145"/>
      <c r="D158" s="145"/>
      <c r="E158" s="145"/>
      <c r="F158" s="146"/>
      <c r="G158" s="141" t="s">
        <v>309</v>
      </c>
      <c r="H158" s="142"/>
      <c r="I158" s="142"/>
      <c r="J158" s="142"/>
      <c r="K158" s="142"/>
      <c r="L158" s="142"/>
      <c r="M158" s="142"/>
      <c r="N158" s="143"/>
      <c r="O158" s="81" t="str">
        <f t="shared" si="89"/>
        <v>ENT_31_05</v>
      </c>
      <c r="P158" s="134" t="s">
        <v>3761</v>
      </c>
      <c r="Q158" s="135"/>
      <c r="R158" s="135"/>
      <c r="S158" s="135"/>
      <c r="T158" s="135"/>
      <c r="U158" s="135"/>
      <c r="V158" s="135"/>
      <c r="W158" s="135"/>
      <c r="X158" s="135"/>
      <c r="Y158" s="135"/>
      <c r="Z158" s="135"/>
      <c r="AA158" s="135"/>
      <c r="AB158" s="135"/>
      <c r="AC158" s="135"/>
      <c r="AD158" s="136"/>
      <c r="AE158" s="137" t="str">
        <f t="shared" ca="1" si="90"/>
        <v>azn_202310_base_text_mml_common</v>
      </c>
      <c r="AF158" s="138"/>
      <c r="AG158" s="138"/>
      <c r="AH158" s="138"/>
      <c r="AI158" s="138"/>
      <c r="AJ158" s="138"/>
      <c r="AK158" s="138"/>
      <c r="AL158" s="139"/>
      <c r="AM158" s="137" t="str">
        <f t="shared" ca="1" si="91"/>
        <v>バックアップ_MML共通テーブルから対象患者で絞り込んだ結果を格納するテーブル</v>
      </c>
      <c r="AN158" s="138"/>
      <c r="AO158" s="138"/>
      <c r="AP158" s="138"/>
      <c r="AQ158" s="138"/>
      <c r="AR158" s="138"/>
      <c r="AS158" s="138"/>
      <c r="AT158" s="138"/>
      <c r="AU158" s="138"/>
      <c r="AV158" s="138"/>
      <c r="AW158" s="138"/>
      <c r="AX158" s="138"/>
      <c r="AY158" s="138"/>
      <c r="AZ158" s="138"/>
      <c r="BA158" s="138"/>
      <c r="BB158" s="138"/>
      <c r="BC158" s="138"/>
      <c r="BD158" s="138"/>
      <c r="BE158" s="138"/>
      <c r="BF158" s="138"/>
      <c r="BG158" s="138"/>
      <c r="BH158" s="138"/>
      <c r="BI158" s="138"/>
      <c r="BJ158" s="140"/>
      <c r="BK158" s="32" t="str">
        <f t="shared" si="92"/>
        <v>ENT_31_05_ベース_MML共通.sql</v>
      </c>
    </row>
    <row r="159" spans="1:63" ht="37.5" hidden="1" customHeight="1" outlineLevel="1">
      <c r="A159" s="34" t="str">
        <f t="shared" si="87"/>
        <v>ベース_MML_診断履歴情報モジュール_本文</v>
      </c>
      <c r="B159" s="144" t="str">
        <f t="shared" si="88"/>
        <v>31</v>
      </c>
      <c r="C159" s="145"/>
      <c r="D159" s="145"/>
      <c r="E159" s="145"/>
      <c r="F159" s="146"/>
      <c r="G159" s="141" t="s">
        <v>309</v>
      </c>
      <c r="H159" s="142"/>
      <c r="I159" s="142"/>
      <c r="J159" s="142"/>
      <c r="K159" s="142"/>
      <c r="L159" s="142"/>
      <c r="M159" s="142"/>
      <c r="N159" s="143"/>
      <c r="O159" s="81" t="str">
        <f t="shared" si="89"/>
        <v>ENT_31_06</v>
      </c>
      <c r="P159" s="134" t="s">
        <v>3762</v>
      </c>
      <c r="Q159" s="135"/>
      <c r="R159" s="135"/>
      <c r="S159" s="135"/>
      <c r="T159" s="135"/>
      <c r="U159" s="135"/>
      <c r="V159" s="135"/>
      <c r="W159" s="135"/>
      <c r="X159" s="135"/>
      <c r="Y159" s="135"/>
      <c r="Z159" s="135"/>
      <c r="AA159" s="135"/>
      <c r="AB159" s="135"/>
      <c r="AC159" s="135"/>
      <c r="AD159" s="136"/>
      <c r="AE159" s="137" t="str">
        <f t="shared" ca="1" si="90"/>
        <v>azn_202310_base_text_mml_mmlrd_body</v>
      </c>
      <c r="AF159" s="138"/>
      <c r="AG159" s="138"/>
      <c r="AH159" s="138"/>
      <c r="AI159" s="138"/>
      <c r="AJ159" s="138"/>
      <c r="AK159" s="138"/>
      <c r="AL159" s="139"/>
      <c r="AM159" s="137" t="str">
        <f t="shared" ca="1" si="91"/>
        <v>バックアップ_MML_診断履歴情報モジュール_本文テーブルから対象患者で絞り込んだ結果を格納するテーブル</v>
      </c>
      <c r="AN159" s="138"/>
      <c r="AO159" s="138"/>
      <c r="AP159" s="138"/>
      <c r="AQ159" s="138"/>
      <c r="AR159" s="138"/>
      <c r="AS159" s="138"/>
      <c r="AT159" s="138"/>
      <c r="AU159" s="138"/>
      <c r="AV159" s="138"/>
      <c r="AW159" s="138"/>
      <c r="AX159" s="138"/>
      <c r="AY159" s="138"/>
      <c r="AZ159" s="138"/>
      <c r="BA159" s="138"/>
      <c r="BB159" s="138"/>
      <c r="BC159" s="138"/>
      <c r="BD159" s="138"/>
      <c r="BE159" s="138"/>
      <c r="BF159" s="138"/>
      <c r="BG159" s="138"/>
      <c r="BH159" s="138"/>
      <c r="BI159" s="138"/>
      <c r="BJ159" s="140"/>
      <c r="BK159" s="32" t="str">
        <f t="shared" si="92"/>
        <v>ENT_31_06_ベース_MML_診断履歴情報モジュール_本文.sql</v>
      </c>
    </row>
    <row r="160" spans="1:63" ht="37.5" hidden="1" customHeight="1" outlineLevel="1">
      <c r="A160" s="34" t="str">
        <f t="shared" si="87"/>
        <v>ベース_MML_診断履歴情報モジュール_病名</v>
      </c>
      <c r="B160" s="144" t="str">
        <f t="shared" si="88"/>
        <v>31</v>
      </c>
      <c r="C160" s="145"/>
      <c r="D160" s="145"/>
      <c r="E160" s="145"/>
      <c r="F160" s="146"/>
      <c r="G160" s="141" t="s">
        <v>309</v>
      </c>
      <c r="H160" s="142"/>
      <c r="I160" s="142"/>
      <c r="J160" s="142"/>
      <c r="K160" s="142"/>
      <c r="L160" s="142"/>
      <c r="M160" s="142"/>
      <c r="N160" s="143"/>
      <c r="O160" s="81" t="str">
        <f t="shared" si="89"/>
        <v>ENT_31_07</v>
      </c>
      <c r="P160" s="134" t="s">
        <v>3763</v>
      </c>
      <c r="Q160" s="135"/>
      <c r="R160" s="135"/>
      <c r="S160" s="135"/>
      <c r="T160" s="135"/>
      <c r="U160" s="135"/>
      <c r="V160" s="135"/>
      <c r="W160" s="135"/>
      <c r="X160" s="135"/>
      <c r="Y160" s="135"/>
      <c r="Z160" s="135"/>
      <c r="AA160" s="135"/>
      <c r="AB160" s="135"/>
      <c r="AC160" s="135"/>
      <c r="AD160" s="136"/>
      <c r="AE160" s="137" t="str">
        <f t="shared" ca="1" si="90"/>
        <v>azn_202310_base_text_mml_mmlrd_byomei</v>
      </c>
      <c r="AF160" s="138"/>
      <c r="AG160" s="138"/>
      <c r="AH160" s="138"/>
      <c r="AI160" s="138"/>
      <c r="AJ160" s="138"/>
      <c r="AK160" s="138"/>
      <c r="AL160" s="139"/>
      <c r="AM160" s="137" t="str">
        <f t="shared" ca="1" si="91"/>
        <v>バックアップ_MML_診断履歴情報モジュール_病名テーブルから対象患者で絞り込んだ結果を格納するテーブル</v>
      </c>
      <c r="AN160" s="138"/>
      <c r="AO160" s="138"/>
      <c r="AP160" s="138"/>
      <c r="AQ160" s="138"/>
      <c r="AR160" s="138"/>
      <c r="AS160" s="138"/>
      <c r="AT160" s="138"/>
      <c r="AU160" s="138"/>
      <c r="AV160" s="138"/>
      <c r="AW160" s="138"/>
      <c r="AX160" s="138"/>
      <c r="AY160" s="138"/>
      <c r="AZ160" s="138"/>
      <c r="BA160" s="138"/>
      <c r="BB160" s="138"/>
      <c r="BC160" s="138"/>
      <c r="BD160" s="138"/>
      <c r="BE160" s="138"/>
      <c r="BF160" s="138"/>
      <c r="BG160" s="138"/>
      <c r="BH160" s="138"/>
      <c r="BI160" s="138"/>
      <c r="BJ160" s="140"/>
      <c r="BK160" s="32" t="str">
        <f t="shared" si="92"/>
        <v>ENT_31_07_ベース_MML_診断履歴情報モジュール_病名.sql</v>
      </c>
    </row>
    <row r="161" spans="1:63" ht="37.5" hidden="1" customHeight="1" outlineLevel="1">
      <c r="A161" s="34" t="str">
        <f t="shared" si="87"/>
        <v>ベース_MML_処方箋モジュール_本文</v>
      </c>
      <c r="B161" s="144" t="str">
        <f t="shared" si="88"/>
        <v>31</v>
      </c>
      <c r="C161" s="145"/>
      <c r="D161" s="145"/>
      <c r="E161" s="145"/>
      <c r="F161" s="146"/>
      <c r="G161" s="141" t="s">
        <v>309</v>
      </c>
      <c r="H161" s="142"/>
      <c r="I161" s="142"/>
      <c r="J161" s="142"/>
      <c r="K161" s="142"/>
      <c r="L161" s="142"/>
      <c r="M161" s="142"/>
      <c r="N161" s="143"/>
      <c r="O161" s="81" t="str">
        <f t="shared" si="89"/>
        <v>ENT_31_08</v>
      </c>
      <c r="P161" s="134" t="s">
        <v>3764</v>
      </c>
      <c r="Q161" s="135"/>
      <c r="R161" s="135"/>
      <c r="S161" s="135"/>
      <c r="T161" s="135"/>
      <c r="U161" s="135"/>
      <c r="V161" s="135"/>
      <c r="W161" s="135"/>
      <c r="X161" s="135"/>
      <c r="Y161" s="135"/>
      <c r="Z161" s="135"/>
      <c r="AA161" s="135"/>
      <c r="AB161" s="135"/>
      <c r="AC161" s="135"/>
      <c r="AD161" s="136"/>
      <c r="AE161" s="137" t="str">
        <f t="shared" ca="1" si="90"/>
        <v>azn_202310_base_text_mml_mmlps_body</v>
      </c>
      <c r="AF161" s="138"/>
      <c r="AG161" s="138"/>
      <c r="AH161" s="138"/>
      <c r="AI161" s="138"/>
      <c r="AJ161" s="138"/>
      <c r="AK161" s="138"/>
      <c r="AL161" s="139"/>
      <c r="AM161" s="137" t="str">
        <f t="shared" ca="1" si="91"/>
        <v>バックアップ_MML_処方箋モジュール_本文テーブルから対象患者で絞り込んだ結果を格納するテーブル</v>
      </c>
      <c r="AN161" s="138"/>
      <c r="AO161" s="138"/>
      <c r="AP161" s="138"/>
      <c r="AQ161" s="138"/>
      <c r="AR161" s="138"/>
      <c r="AS161" s="138"/>
      <c r="AT161" s="138"/>
      <c r="AU161" s="138"/>
      <c r="AV161" s="138"/>
      <c r="AW161" s="138"/>
      <c r="AX161" s="138"/>
      <c r="AY161" s="138"/>
      <c r="AZ161" s="138"/>
      <c r="BA161" s="138"/>
      <c r="BB161" s="138"/>
      <c r="BC161" s="138"/>
      <c r="BD161" s="138"/>
      <c r="BE161" s="138"/>
      <c r="BF161" s="138"/>
      <c r="BG161" s="138"/>
      <c r="BH161" s="138"/>
      <c r="BI161" s="138"/>
      <c r="BJ161" s="140"/>
      <c r="BK161" s="32" t="str">
        <f t="shared" si="92"/>
        <v>ENT_31_08_ベース_MML_処方箋モジュール_本文.sql</v>
      </c>
    </row>
    <row r="162" spans="1:63" ht="37.5" hidden="1" customHeight="1" outlineLevel="1">
      <c r="A162" s="34" t="str">
        <f t="shared" si="87"/>
        <v>ベース_MML_処方箋モジュール_投薬</v>
      </c>
      <c r="B162" s="144" t="str">
        <f t="shared" si="88"/>
        <v>31</v>
      </c>
      <c r="C162" s="145"/>
      <c r="D162" s="145"/>
      <c r="E162" s="145"/>
      <c r="F162" s="146"/>
      <c r="G162" s="141" t="s">
        <v>309</v>
      </c>
      <c r="H162" s="142"/>
      <c r="I162" s="142"/>
      <c r="J162" s="142"/>
      <c r="K162" s="142"/>
      <c r="L162" s="142"/>
      <c r="M162" s="142"/>
      <c r="N162" s="143"/>
      <c r="O162" s="81" t="str">
        <f t="shared" si="89"/>
        <v>ENT_31_09</v>
      </c>
      <c r="P162" s="134" t="s">
        <v>3765</v>
      </c>
      <c r="Q162" s="135"/>
      <c r="R162" s="135"/>
      <c r="S162" s="135"/>
      <c r="T162" s="135"/>
      <c r="U162" s="135"/>
      <c r="V162" s="135"/>
      <c r="W162" s="135"/>
      <c r="X162" s="135"/>
      <c r="Y162" s="135"/>
      <c r="Z162" s="135"/>
      <c r="AA162" s="135"/>
      <c r="AB162" s="135"/>
      <c r="AC162" s="135"/>
      <c r="AD162" s="136"/>
      <c r="AE162" s="137" t="str">
        <f t="shared" ca="1" si="90"/>
        <v>azn_202310_base_text_mml_mmlps_medication</v>
      </c>
      <c r="AF162" s="138"/>
      <c r="AG162" s="138"/>
      <c r="AH162" s="138"/>
      <c r="AI162" s="138"/>
      <c r="AJ162" s="138"/>
      <c r="AK162" s="138"/>
      <c r="AL162" s="139"/>
      <c r="AM162" s="137" t="str">
        <f t="shared" ca="1" si="91"/>
        <v>バックアップ_MML_処方箋モジュール_投薬テーブルから対象患者で絞り込んだ結果を格納するテーブル</v>
      </c>
      <c r="AN162" s="138"/>
      <c r="AO162" s="138"/>
      <c r="AP162" s="138"/>
      <c r="AQ162" s="138"/>
      <c r="AR162" s="138"/>
      <c r="AS162" s="138"/>
      <c r="AT162" s="138"/>
      <c r="AU162" s="138"/>
      <c r="AV162" s="138"/>
      <c r="AW162" s="138"/>
      <c r="AX162" s="138"/>
      <c r="AY162" s="138"/>
      <c r="AZ162" s="138"/>
      <c r="BA162" s="138"/>
      <c r="BB162" s="138"/>
      <c r="BC162" s="138"/>
      <c r="BD162" s="138"/>
      <c r="BE162" s="138"/>
      <c r="BF162" s="138"/>
      <c r="BG162" s="138"/>
      <c r="BH162" s="138"/>
      <c r="BI162" s="138"/>
      <c r="BJ162" s="140"/>
      <c r="BK162" s="32" t="str">
        <f t="shared" si="92"/>
        <v>ENT_31_09_ベース_MML_処方箋モジュール_投薬.sql</v>
      </c>
    </row>
    <row r="163" spans="1:63" ht="37.5" hidden="1" customHeight="1" outlineLevel="1">
      <c r="A163" s="34" t="str">
        <f t="shared" si="87"/>
        <v>ベース_MML_処方箋モジュール_薬剤</v>
      </c>
      <c r="B163" s="144" t="str">
        <f t="shared" si="88"/>
        <v>31</v>
      </c>
      <c r="C163" s="145"/>
      <c r="D163" s="145"/>
      <c r="E163" s="145"/>
      <c r="F163" s="146"/>
      <c r="G163" s="141" t="s">
        <v>309</v>
      </c>
      <c r="H163" s="142"/>
      <c r="I163" s="142"/>
      <c r="J163" s="142"/>
      <c r="K163" s="142"/>
      <c r="L163" s="142"/>
      <c r="M163" s="142"/>
      <c r="N163" s="143"/>
      <c r="O163" s="81" t="str">
        <f t="shared" si="89"/>
        <v>ENT_31_10</v>
      </c>
      <c r="P163" s="134" t="s">
        <v>3766</v>
      </c>
      <c r="Q163" s="135"/>
      <c r="R163" s="135"/>
      <c r="S163" s="135"/>
      <c r="T163" s="135"/>
      <c r="U163" s="135"/>
      <c r="V163" s="135"/>
      <c r="W163" s="135"/>
      <c r="X163" s="135"/>
      <c r="Y163" s="135"/>
      <c r="Z163" s="135"/>
      <c r="AA163" s="135"/>
      <c r="AB163" s="135"/>
      <c r="AC163" s="135"/>
      <c r="AD163" s="136"/>
      <c r="AE163" s="137" t="str">
        <f t="shared" ca="1" si="90"/>
        <v>azn_202310_base_text_mml_mmlps_medicine</v>
      </c>
      <c r="AF163" s="138"/>
      <c r="AG163" s="138"/>
      <c r="AH163" s="138"/>
      <c r="AI163" s="138"/>
      <c r="AJ163" s="138"/>
      <c r="AK163" s="138"/>
      <c r="AL163" s="139"/>
      <c r="AM163" s="137" t="str">
        <f t="shared" ca="1" si="91"/>
        <v>バックアップ_MML_処方箋モジュール_薬剤テーブルから対象患者で絞り込んだ結果を格納するテーブル</v>
      </c>
      <c r="AN163" s="138"/>
      <c r="AO163" s="138"/>
      <c r="AP163" s="138"/>
      <c r="AQ163" s="138"/>
      <c r="AR163" s="138"/>
      <c r="AS163" s="138"/>
      <c r="AT163" s="138"/>
      <c r="AU163" s="138"/>
      <c r="AV163" s="138"/>
      <c r="AW163" s="138"/>
      <c r="AX163" s="138"/>
      <c r="AY163" s="138"/>
      <c r="AZ163" s="138"/>
      <c r="BA163" s="138"/>
      <c r="BB163" s="138"/>
      <c r="BC163" s="138"/>
      <c r="BD163" s="138"/>
      <c r="BE163" s="138"/>
      <c r="BF163" s="138"/>
      <c r="BG163" s="138"/>
      <c r="BH163" s="138"/>
      <c r="BI163" s="138"/>
      <c r="BJ163" s="140"/>
      <c r="BK163" s="32" t="str">
        <f t="shared" si="92"/>
        <v>ENT_31_10_ベース_MML_処方箋モジュール_薬剤.sql</v>
      </c>
    </row>
    <row r="164" spans="1:63" ht="37.5" hidden="1" customHeight="1" outlineLevel="1">
      <c r="A164" s="34" t="str">
        <f t="shared" si="87"/>
        <v>ベース_DPC調査データ_入院EF統合ファイル</v>
      </c>
      <c r="B164" s="144" t="str">
        <f t="shared" si="88"/>
        <v>31</v>
      </c>
      <c r="C164" s="145"/>
      <c r="D164" s="145"/>
      <c r="E164" s="145"/>
      <c r="F164" s="146"/>
      <c r="G164" s="141" t="s">
        <v>309</v>
      </c>
      <c r="H164" s="142"/>
      <c r="I164" s="142"/>
      <c r="J164" s="142"/>
      <c r="K164" s="142"/>
      <c r="L164" s="142"/>
      <c r="M164" s="142"/>
      <c r="N164" s="143"/>
      <c r="O164" s="81" t="str">
        <f t="shared" si="89"/>
        <v>ENT_31_11</v>
      </c>
      <c r="P164" s="134" t="s">
        <v>3767</v>
      </c>
      <c r="Q164" s="135"/>
      <c r="R164" s="135"/>
      <c r="S164" s="135"/>
      <c r="T164" s="135"/>
      <c r="U164" s="135"/>
      <c r="V164" s="135"/>
      <c r="W164" s="135"/>
      <c r="X164" s="135"/>
      <c r="Y164" s="135"/>
      <c r="Z164" s="135"/>
      <c r="AA164" s="135"/>
      <c r="AB164" s="135"/>
      <c r="AC164" s="135"/>
      <c r="AD164" s="136"/>
      <c r="AE164" s="137" t="str">
        <f t="shared" ca="1" si="90"/>
        <v>azn_202310_base_merge_dpc_efn</v>
      </c>
      <c r="AF164" s="138"/>
      <c r="AG164" s="138"/>
      <c r="AH164" s="138"/>
      <c r="AI164" s="138"/>
      <c r="AJ164" s="138"/>
      <c r="AK164" s="138"/>
      <c r="AL164" s="139"/>
      <c r="AM164" s="137" t="str">
        <f t="shared" ca="1" si="91"/>
        <v>バックアップ_DPC調査データ_入院EF統合ファイルテーブルから対象患者で絞り込んだ結果を格納するテーブル</v>
      </c>
      <c r="AN164" s="138"/>
      <c r="AO164" s="138"/>
      <c r="AP164" s="138"/>
      <c r="AQ164" s="138"/>
      <c r="AR164" s="138"/>
      <c r="AS164" s="138"/>
      <c r="AT164" s="138"/>
      <c r="AU164" s="138"/>
      <c r="AV164" s="138"/>
      <c r="AW164" s="138"/>
      <c r="AX164" s="138"/>
      <c r="AY164" s="138"/>
      <c r="AZ164" s="138"/>
      <c r="BA164" s="138"/>
      <c r="BB164" s="138"/>
      <c r="BC164" s="138"/>
      <c r="BD164" s="138"/>
      <c r="BE164" s="138"/>
      <c r="BF164" s="138"/>
      <c r="BG164" s="138"/>
      <c r="BH164" s="138"/>
      <c r="BI164" s="138"/>
      <c r="BJ164" s="140"/>
      <c r="BK164" s="32" t="str">
        <f t="shared" si="92"/>
        <v>ENT_31_11_ベース_DPC調査データ_入院EF統合ファイル.sql</v>
      </c>
    </row>
    <row r="165" spans="1:63" ht="37.5" hidden="1" customHeight="1" outlineLevel="1">
      <c r="A165" s="34" t="str">
        <f t="shared" si="87"/>
        <v>ベース_DPC調査データ_外来EF統合ファイル</v>
      </c>
      <c r="B165" s="144" t="str">
        <f t="shared" si="88"/>
        <v>31</v>
      </c>
      <c r="C165" s="145"/>
      <c r="D165" s="145"/>
      <c r="E165" s="145"/>
      <c r="F165" s="146"/>
      <c r="G165" s="141" t="s">
        <v>309</v>
      </c>
      <c r="H165" s="142"/>
      <c r="I165" s="142"/>
      <c r="J165" s="142"/>
      <c r="K165" s="142"/>
      <c r="L165" s="142"/>
      <c r="M165" s="142"/>
      <c r="N165" s="143"/>
      <c r="O165" s="81" t="str">
        <f t="shared" si="89"/>
        <v>ENT_31_12</v>
      </c>
      <c r="P165" s="134" t="s">
        <v>3768</v>
      </c>
      <c r="Q165" s="135"/>
      <c r="R165" s="135"/>
      <c r="S165" s="135"/>
      <c r="T165" s="135"/>
      <c r="U165" s="135"/>
      <c r="V165" s="135"/>
      <c r="W165" s="135"/>
      <c r="X165" s="135"/>
      <c r="Y165" s="135"/>
      <c r="Z165" s="135"/>
      <c r="AA165" s="135"/>
      <c r="AB165" s="135"/>
      <c r="AC165" s="135"/>
      <c r="AD165" s="136"/>
      <c r="AE165" s="137" t="str">
        <f t="shared" ca="1" si="90"/>
        <v>azn_202310_base_merge_dpc_efg</v>
      </c>
      <c r="AF165" s="138"/>
      <c r="AG165" s="138"/>
      <c r="AH165" s="138"/>
      <c r="AI165" s="138"/>
      <c r="AJ165" s="138"/>
      <c r="AK165" s="138"/>
      <c r="AL165" s="139"/>
      <c r="AM165" s="137" t="str">
        <f t="shared" ca="1" si="91"/>
        <v>バックアップ_DPC調査データ_外来EF統合ファイルテーブルから対象患者で絞り込んだ結果を格納するテーブル</v>
      </c>
      <c r="AN165" s="138"/>
      <c r="AO165" s="138"/>
      <c r="AP165" s="138"/>
      <c r="AQ165" s="138"/>
      <c r="AR165" s="138"/>
      <c r="AS165" s="138"/>
      <c r="AT165" s="138"/>
      <c r="AU165" s="138"/>
      <c r="AV165" s="138"/>
      <c r="AW165" s="138"/>
      <c r="AX165" s="138"/>
      <c r="AY165" s="138"/>
      <c r="AZ165" s="138"/>
      <c r="BA165" s="138"/>
      <c r="BB165" s="138"/>
      <c r="BC165" s="138"/>
      <c r="BD165" s="138"/>
      <c r="BE165" s="138"/>
      <c r="BF165" s="138"/>
      <c r="BG165" s="138"/>
      <c r="BH165" s="138"/>
      <c r="BI165" s="138"/>
      <c r="BJ165" s="140"/>
      <c r="BK165" s="32" t="str">
        <f t="shared" si="92"/>
        <v>ENT_31_12_ベース_DPC調査データ_外来EF統合ファイル.sql</v>
      </c>
    </row>
    <row r="166" spans="1:63" ht="37.5" hidden="1" customHeight="1" outlineLevel="1">
      <c r="A166" s="34" t="str">
        <f t="shared" si="87"/>
        <v>ベース_DPC調査データ_様式1</v>
      </c>
      <c r="B166" s="144" t="str">
        <f t="shared" si="88"/>
        <v>31</v>
      </c>
      <c r="C166" s="145"/>
      <c r="D166" s="145"/>
      <c r="E166" s="145"/>
      <c r="F166" s="146"/>
      <c r="G166" s="141" t="s">
        <v>309</v>
      </c>
      <c r="H166" s="142"/>
      <c r="I166" s="142"/>
      <c r="J166" s="142"/>
      <c r="K166" s="142"/>
      <c r="L166" s="142"/>
      <c r="M166" s="142"/>
      <c r="N166" s="143"/>
      <c r="O166" s="81" t="str">
        <f t="shared" si="89"/>
        <v>ENT_31_13</v>
      </c>
      <c r="P166" s="134" t="s">
        <v>3769</v>
      </c>
      <c r="Q166" s="135"/>
      <c r="R166" s="135"/>
      <c r="S166" s="135"/>
      <c r="T166" s="135"/>
      <c r="U166" s="135"/>
      <c r="V166" s="135"/>
      <c r="W166" s="135"/>
      <c r="X166" s="135"/>
      <c r="Y166" s="135"/>
      <c r="Z166" s="135"/>
      <c r="AA166" s="135"/>
      <c r="AB166" s="135"/>
      <c r="AC166" s="135"/>
      <c r="AD166" s="136"/>
      <c r="AE166" s="137" t="str">
        <f t="shared" ca="1" si="90"/>
        <v>azn_202310_base_merge_dpc_ff1</v>
      </c>
      <c r="AF166" s="138"/>
      <c r="AG166" s="138"/>
      <c r="AH166" s="138"/>
      <c r="AI166" s="138"/>
      <c r="AJ166" s="138"/>
      <c r="AK166" s="138"/>
      <c r="AL166" s="139"/>
      <c r="AM166" s="137" t="str">
        <f t="shared" ca="1" si="91"/>
        <v>バックアップ_DPC調査データ_様式1テーブルから対象患者で絞り込んだ結果を格納するテーブル</v>
      </c>
      <c r="AN166" s="138"/>
      <c r="AO166" s="138"/>
      <c r="AP166" s="138"/>
      <c r="AQ166" s="138"/>
      <c r="AR166" s="138"/>
      <c r="AS166" s="138"/>
      <c r="AT166" s="138"/>
      <c r="AU166" s="138"/>
      <c r="AV166" s="138"/>
      <c r="AW166" s="138"/>
      <c r="AX166" s="138"/>
      <c r="AY166" s="138"/>
      <c r="AZ166" s="138"/>
      <c r="BA166" s="138"/>
      <c r="BB166" s="138"/>
      <c r="BC166" s="138"/>
      <c r="BD166" s="138"/>
      <c r="BE166" s="138"/>
      <c r="BF166" s="138"/>
      <c r="BG166" s="138"/>
      <c r="BH166" s="138"/>
      <c r="BI166" s="138"/>
      <c r="BJ166" s="140"/>
      <c r="BK166" s="32" t="str">
        <f t="shared" si="92"/>
        <v>ENT_31_13_ベース_DPC調査データ_様式1.sql</v>
      </c>
    </row>
    <row r="167" spans="1:63" ht="37.5" hidden="1" customHeight="1" outlineLevel="1">
      <c r="A167" s="34" t="str">
        <f t="shared" si="87"/>
        <v>ベース_DPC調査データ_様式1_診断情報_併存症</v>
      </c>
      <c r="B167" s="144" t="str">
        <f t="shared" si="88"/>
        <v>31</v>
      </c>
      <c r="C167" s="145"/>
      <c r="D167" s="145"/>
      <c r="E167" s="145"/>
      <c r="F167" s="146"/>
      <c r="G167" s="141" t="s">
        <v>309</v>
      </c>
      <c r="H167" s="142"/>
      <c r="I167" s="142"/>
      <c r="J167" s="142"/>
      <c r="K167" s="142"/>
      <c r="L167" s="142"/>
      <c r="M167" s="142"/>
      <c r="N167" s="143"/>
      <c r="O167" s="81" t="str">
        <f t="shared" si="89"/>
        <v>ENT_31_14</v>
      </c>
      <c r="P167" s="134" t="s">
        <v>3770</v>
      </c>
      <c r="Q167" s="135"/>
      <c r="R167" s="135"/>
      <c r="S167" s="135"/>
      <c r="T167" s="135"/>
      <c r="U167" s="135"/>
      <c r="V167" s="135"/>
      <c r="W167" s="135"/>
      <c r="X167" s="135"/>
      <c r="Y167" s="135"/>
      <c r="Z167" s="135"/>
      <c r="AA167" s="135"/>
      <c r="AB167" s="135"/>
      <c r="AC167" s="135"/>
      <c r="AD167" s="136"/>
      <c r="AE167" s="137" t="str">
        <f t="shared" ca="1" si="90"/>
        <v>azn_202310_base_merge_dpc_ff1_a006040</v>
      </c>
      <c r="AF167" s="138"/>
      <c r="AG167" s="138"/>
      <c r="AH167" s="138"/>
      <c r="AI167" s="138"/>
      <c r="AJ167" s="138"/>
      <c r="AK167" s="138"/>
      <c r="AL167" s="139"/>
      <c r="AM167" s="137" t="str">
        <f t="shared" ca="1" si="91"/>
        <v>バックアップ_DPC調査データ_様式1_診断情報_併存症テーブルから対象患者で絞り込んだ結果を格納するテーブル</v>
      </c>
      <c r="AN167" s="138"/>
      <c r="AO167" s="138"/>
      <c r="AP167" s="138"/>
      <c r="AQ167" s="138"/>
      <c r="AR167" s="138"/>
      <c r="AS167" s="138"/>
      <c r="AT167" s="138"/>
      <c r="AU167" s="138"/>
      <c r="AV167" s="138"/>
      <c r="AW167" s="138"/>
      <c r="AX167" s="138"/>
      <c r="AY167" s="138"/>
      <c r="AZ167" s="138"/>
      <c r="BA167" s="138"/>
      <c r="BB167" s="138"/>
      <c r="BC167" s="138"/>
      <c r="BD167" s="138"/>
      <c r="BE167" s="138"/>
      <c r="BF167" s="138"/>
      <c r="BG167" s="138"/>
      <c r="BH167" s="138"/>
      <c r="BI167" s="138"/>
      <c r="BJ167" s="140"/>
      <c r="BK167" s="32" t="str">
        <f t="shared" si="92"/>
        <v>ENT_31_14_ベース_DPC調査データ_様式1_診断情報_併存症.sql</v>
      </c>
    </row>
    <row r="168" spans="1:63" ht="37.5" hidden="1" customHeight="1" outlineLevel="1">
      <c r="A168" s="34" t="str">
        <f t="shared" si="87"/>
        <v>ベース_DPC調査データ_様式1_診断情報_続発症</v>
      </c>
      <c r="B168" s="144" t="str">
        <f t="shared" si="88"/>
        <v>31</v>
      </c>
      <c r="C168" s="145"/>
      <c r="D168" s="145"/>
      <c r="E168" s="145"/>
      <c r="F168" s="146"/>
      <c r="G168" s="141" t="s">
        <v>309</v>
      </c>
      <c r="H168" s="142"/>
      <c r="I168" s="142"/>
      <c r="J168" s="142"/>
      <c r="K168" s="142"/>
      <c r="L168" s="142"/>
      <c r="M168" s="142"/>
      <c r="N168" s="143"/>
      <c r="O168" s="81" t="str">
        <f t="shared" si="89"/>
        <v>ENT_31_15</v>
      </c>
      <c r="P168" s="134" t="s">
        <v>3771</v>
      </c>
      <c r="Q168" s="135"/>
      <c r="R168" s="135"/>
      <c r="S168" s="135"/>
      <c r="T168" s="135"/>
      <c r="U168" s="135"/>
      <c r="V168" s="135"/>
      <c r="W168" s="135"/>
      <c r="X168" s="135"/>
      <c r="Y168" s="135"/>
      <c r="Z168" s="135"/>
      <c r="AA168" s="135"/>
      <c r="AB168" s="135"/>
      <c r="AC168" s="135"/>
      <c r="AD168" s="136"/>
      <c r="AE168" s="137" t="str">
        <f t="shared" ca="1" si="90"/>
        <v>azn_202310_base_merge_dpc_ff1_a006050</v>
      </c>
      <c r="AF168" s="138"/>
      <c r="AG168" s="138"/>
      <c r="AH168" s="138"/>
      <c r="AI168" s="138"/>
      <c r="AJ168" s="138"/>
      <c r="AK168" s="138"/>
      <c r="AL168" s="139"/>
      <c r="AM168" s="137" t="str">
        <f t="shared" ca="1" si="91"/>
        <v>バックアップ_DPC調査データ_様式1_診断情報_続発症テーブルから対象患者で絞り込んだ結果を格納するテーブル</v>
      </c>
      <c r="AN168" s="138"/>
      <c r="AO168" s="138"/>
      <c r="AP168" s="138"/>
      <c r="AQ168" s="138"/>
      <c r="AR168" s="138"/>
      <c r="AS168" s="138"/>
      <c r="AT168" s="138"/>
      <c r="AU168" s="138"/>
      <c r="AV168" s="138"/>
      <c r="AW168" s="138"/>
      <c r="AX168" s="138"/>
      <c r="AY168" s="138"/>
      <c r="AZ168" s="138"/>
      <c r="BA168" s="138"/>
      <c r="BB168" s="138"/>
      <c r="BC168" s="138"/>
      <c r="BD168" s="138"/>
      <c r="BE168" s="138"/>
      <c r="BF168" s="138"/>
      <c r="BG168" s="138"/>
      <c r="BH168" s="138"/>
      <c r="BI168" s="138"/>
      <c r="BJ168" s="140"/>
      <c r="BK168" s="32" t="str">
        <f t="shared" si="92"/>
        <v>ENT_31_15_ベース_DPC調査データ_様式1_診断情報_続発症.sql</v>
      </c>
    </row>
    <row r="169" spans="1:63" ht="37.5" hidden="1" customHeight="1" outlineLevel="1">
      <c r="A169" s="34" t="str">
        <f t="shared" si="87"/>
        <v>ベース_診断履歴情報モジュール_診断履歴情報レコード</v>
      </c>
      <c r="B169" s="144" t="str">
        <f t="shared" si="88"/>
        <v>31</v>
      </c>
      <c r="C169" s="145"/>
      <c r="D169" s="145"/>
      <c r="E169" s="145"/>
      <c r="F169" s="146"/>
      <c r="G169" s="141" t="s">
        <v>309</v>
      </c>
      <c r="H169" s="142"/>
      <c r="I169" s="142"/>
      <c r="J169" s="142"/>
      <c r="K169" s="142"/>
      <c r="L169" s="142"/>
      <c r="M169" s="142"/>
      <c r="N169" s="143"/>
      <c r="O169" s="81" t="str">
        <f t="shared" si="89"/>
        <v>ENT_31_16</v>
      </c>
      <c r="P169" s="134" t="s">
        <v>3772</v>
      </c>
      <c r="Q169" s="135"/>
      <c r="R169" s="135"/>
      <c r="S169" s="135"/>
      <c r="T169" s="135"/>
      <c r="U169" s="135"/>
      <c r="V169" s="135"/>
      <c r="W169" s="135"/>
      <c r="X169" s="135"/>
      <c r="Y169" s="135"/>
      <c r="Z169" s="135"/>
      <c r="AA169" s="135"/>
      <c r="AB169" s="135"/>
      <c r="AC169" s="135"/>
      <c r="AD169" s="136"/>
      <c r="AE169" s="137" t="str">
        <f t="shared" ca="1" si="90"/>
        <v>azn_202310_base_merge_mml_rd_register</v>
      </c>
      <c r="AF169" s="138"/>
      <c r="AG169" s="138"/>
      <c r="AH169" s="138"/>
      <c r="AI169" s="138"/>
      <c r="AJ169" s="138"/>
      <c r="AK169" s="138"/>
      <c r="AL169" s="139"/>
      <c r="AM169" s="137" t="str">
        <f t="shared" ca="1" si="91"/>
        <v>バックアップ_診断履歴情報モジュール_診断履歴情報レコードテーブルから対象患者で絞り込んだ結果を格納するテーブル</v>
      </c>
      <c r="AN169" s="138"/>
      <c r="AO169" s="138"/>
      <c r="AP169" s="138"/>
      <c r="AQ169" s="138"/>
      <c r="AR169" s="138"/>
      <c r="AS169" s="138"/>
      <c r="AT169" s="138"/>
      <c r="AU169" s="138"/>
      <c r="AV169" s="138"/>
      <c r="AW169" s="138"/>
      <c r="AX169" s="138"/>
      <c r="AY169" s="138"/>
      <c r="AZ169" s="138"/>
      <c r="BA169" s="138"/>
      <c r="BB169" s="138"/>
      <c r="BC169" s="138"/>
      <c r="BD169" s="138"/>
      <c r="BE169" s="138"/>
      <c r="BF169" s="138"/>
      <c r="BG169" s="138"/>
      <c r="BH169" s="138"/>
      <c r="BI169" s="138"/>
      <c r="BJ169" s="140"/>
      <c r="BK169" s="32" t="str">
        <f t="shared" si="92"/>
        <v>ENT_31_16_ベース_診断履歴情報モジュール_診断履歴情報レコード.sql</v>
      </c>
    </row>
    <row r="170" spans="1:63" ht="37.5" hidden="1" customHeight="1" outlineLevel="1">
      <c r="A170" s="34" t="str">
        <f t="shared" si="87"/>
        <v>ベース_診断履歴情報モジュール_診断病名レコード</v>
      </c>
      <c r="B170" s="144" t="str">
        <f t="shared" si="88"/>
        <v>31</v>
      </c>
      <c r="C170" s="145"/>
      <c r="D170" s="145"/>
      <c r="E170" s="145"/>
      <c r="F170" s="146"/>
      <c r="G170" s="141" t="s">
        <v>309</v>
      </c>
      <c r="H170" s="142"/>
      <c r="I170" s="142"/>
      <c r="J170" s="142"/>
      <c r="K170" s="142"/>
      <c r="L170" s="142"/>
      <c r="M170" s="142"/>
      <c r="N170" s="143"/>
      <c r="O170" s="81" t="str">
        <f t="shared" si="89"/>
        <v>ENT_31_17</v>
      </c>
      <c r="P170" s="134" t="s">
        <v>3773</v>
      </c>
      <c r="Q170" s="135"/>
      <c r="R170" s="135"/>
      <c r="S170" s="135"/>
      <c r="T170" s="135"/>
      <c r="U170" s="135"/>
      <c r="V170" s="135"/>
      <c r="W170" s="135"/>
      <c r="X170" s="135"/>
      <c r="Y170" s="135"/>
      <c r="Z170" s="135"/>
      <c r="AA170" s="135"/>
      <c r="AB170" s="135"/>
      <c r="AC170" s="135"/>
      <c r="AD170" s="136"/>
      <c r="AE170" s="137" t="str">
        <f t="shared" ca="1" si="90"/>
        <v>azn_202310_base_merge_mml_rd_byomei</v>
      </c>
      <c r="AF170" s="138"/>
      <c r="AG170" s="138"/>
      <c r="AH170" s="138"/>
      <c r="AI170" s="138"/>
      <c r="AJ170" s="138"/>
      <c r="AK170" s="138"/>
      <c r="AL170" s="139"/>
      <c r="AM170" s="137" t="str">
        <f t="shared" ca="1" si="91"/>
        <v>バックアップ_診断履歴情報モジュール_診断病名レコードテーブルから対象患者で絞り込んだ結果を格納するテーブル</v>
      </c>
      <c r="AN170" s="138"/>
      <c r="AO170" s="138"/>
      <c r="AP170" s="138"/>
      <c r="AQ170" s="138"/>
      <c r="AR170" s="138"/>
      <c r="AS170" s="138"/>
      <c r="AT170" s="138"/>
      <c r="AU170" s="138"/>
      <c r="AV170" s="138"/>
      <c r="AW170" s="138"/>
      <c r="AX170" s="138"/>
      <c r="AY170" s="138"/>
      <c r="AZ170" s="138"/>
      <c r="BA170" s="138"/>
      <c r="BB170" s="138"/>
      <c r="BC170" s="138"/>
      <c r="BD170" s="138"/>
      <c r="BE170" s="138"/>
      <c r="BF170" s="138"/>
      <c r="BG170" s="138"/>
      <c r="BH170" s="138"/>
      <c r="BI170" s="138"/>
      <c r="BJ170" s="140"/>
      <c r="BK170" s="32" t="str">
        <f t="shared" si="92"/>
        <v>ENT_31_17_ベース_診断履歴情報モジュール_診断病名レコード.sql</v>
      </c>
    </row>
    <row r="171" spans="1:63" ht="37.5" hidden="1" customHeight="1" outlineLevel="1">
      <c r="A171" s="34" t="str">
        <f t="shared" si="87"/>
        <v>ベース_経過記録情報モジュール_経過記録情報レコード</v>
      </c>
      <c r="B171" s="144" t="str">
        <f t="shared" si="88"/>
        <v>31</v>
      </c>
      <c r="C171" s="145"/>
      <c r="D171" s="145"/>
      <c r="E171" s="145"/>
      <c r="F171" s="146"/>
      <c r="G171" s="141" t="s">
        <v>309</v>
      </c>
      <c r="H171" s="142"/>
      <c r="I171" s="142"/>
      <c r="J171" s="142"/>
      <c r="K171" s="142"/>
      <c r="L171" s="142"/>
      <c r="M171" s="142"/>
      <c r="N171" s="143"/>
      <c r="O171" s="81" t="str">
        <f t="shared" si="89"/>
        <v>ENT_31_18</v>
      </c>
      <c r="P171" s="134" t="s">
        <v>3774</v>
      </c>
      <c r="Q171" s="135"/>
      <c r="R171" s="135"/>
      <c r="S171" s="135"/>
      <c r="T171" s="135"/>
      <c r="U171" s="135"/>
      <c r="V171" s="135"/>
      <c r="W171" s="135"/>
      <c r="X171" s="135"/>
      <c r="Y171" s="135"/>
      <c r="Z171" s="135"/>
      <c r="AA171" s="135"/>
      <c r="AB171" s="135"/>
      <c r="AC171" s="135"/>
      <c r="AD171" s="136"/>
      <c r="AE171" s="137" t="str">
        <f t="shared" ca="1" si="90"/>
        <v>azn_202310_base_merge_mml_pc_progress_course</v>
      </c>
      <c r="AF171" s="138"/>
      <c r="AG171" s="138"/>
      <c r="AH171" s="138"/>
      <c r="AI171" s="138"/>
      <c r="AJ171" s="138"/>
      <c r="AK171" s="138"/>
      <c r="AL171" s="139"/>
      <c r="AM171" s="137" t="str">
        <f t="shared" ca="1" si="91"/>
        <v>バックアップ_経過記録情報モジュール_経過記録情報レコードテーブルから対象患者で絞り込んだ結果を格納するテーブル</v>
      </c>
      <c r="AN171" s="138"/>
      <c r="AO171" s="138"/>
      <c r="AP171" s="138"/>
      <c r="AQ171" s="138"/>
      <c r="AR171" s="138"/>
      <c r="AS171" s="138"/>
      <c r="AT171" s="138"/>
      <c r="AU171" s="138"/>
      <c r="AV171" s="138"/>
      <c r="AW171" s="138"/>
      <c r="AX171" s="138"/>
      <c r="AY171" s="138"/>
      <c r="AZ171" s="138"/>
      <c r="BA171" s="138"/>
      <c r="BB171" s="138"/>
      <c r="BC171" s="138"/>
      <c r="BD171" s="138"/>
      <c r="BE171" s="138"/>
      <c r="BF171" s="138"/>
      <c r="BG171" s="138"/>
      <c r="BH171" s="138"/>
      <c r="BI171" s="138"/>
      <c r="BJ171" s="140"/>
      <c r="BK171" s="32" t="str">
        <f t="shared" si="92"/>
        <v>ENT_31_18_ベース_経過記録情報モジュール_経過記録情報レコード.sql</v>
      </c>
    </row>
    <row r="172" spans="1:63" ht="37.5" hidden="1" customHeight="1" outlineLevel="1">
      <c r="A172" s="34" t="str">
        <f t="shared" si="87"/>
        <v>ベース_経過記録情報モジュール_プロブレムレコード</v>
      </c>
      <c r="B172" s="144" t="str">
        <f t="shared" si="88"/>
        <v>31</v>
      </c>
      <c r="C172" s="145"/>
      <c r="D172" s="145"/>
      <c r="E172" s="145"/>
      <c r="F172" s="146"/>
      <c r="G172" s="141" t="s">
        <v>309</v>
      </c>
      <c r="H172" s="142"/>
      <c r="I172" s="142"/>
      <c r="J172" s="142"/>
      <c r="K172" s="142"/>
      <c r="L172" s="142"/>
      <c r="M172" s="142"/>
      <c r="N172" s="143"/>
      <c r="O172" s="81" t="str">
        <f t="shared" si="89"/>
        <v>ENT_31_19</v>
      </c>
      <c r="P172" s="134" t="s">
        <v>3775</v>
      </c>
      <c r="Q172" s="135"/>
      <c r="R172" s="135"/>
      <c r="S172" s="135"/>
      <c r="T172" s="135"/>
      <c r="U172" s="135"/>
      <c r="V172" s="135"/>
      <c r="W172" s="135"/>
      <c r="X172" s="135"/>
      <c r="Y172" s="135"/>
      <c r="Z172" s="135"/>
      <c r="AA172" s="135"/>
      <c r="AB172" s="135"/>
      <c r="AC172" s="135"/>
      <c r="AD172" s="136"/>
      <c r="AE172" s="137" t="str">
        <f t="shared" ca="1" si="90"/>
        <v>azn_202310_base_merge_mml_pc_problem</v>
      </c>
      <c r="AF172" s="138"/>
      <c r="AG172" s="138"/>
      <c r="AH172" s="138"/>
      <c r="AI172" s="138"/>
      <c r="AJ172" s="138"/>
      <c r="AK172" s="138"/>
      <c r="AL172" s="139"/>
      <c r="AM172" s="137" t="str">
        <f t="shared" ca="1" si="91"/>
        <v>バックアップ_経過記録情報モジュール_プロブレムレコードテーブルから対象患者で絞り込んだ結果を格納するテーブル</v>
      </c>
      <c r="AN172" s="138"/>
      <c r="AO172" s="138"/>
      <c r="AP172" s="138"/>
      <c r="AQ172" s="138"/>
      <c r="AR172" s="138"/>
      <c r="AS172" s="138"/>
      <c r="AT172" s="138"/>
      <c r="AU172" s="138"/>
      <c r="AV172" s="138"/>
      <c r="AW172" s="138"/>
      <c r="AX172" s="138"/>
      <c r="AY172" s="138"/>
      <c r="AZ172" s="138"/>
      <c r="BA172" s="138"/>
      <c r="BB172" s="138"/>
      <c r="BC172" s="138"/>
      <c r="BD172" s="138"/>
      <c r="BE172" s="138"/>
      <c r="BF172" s="138"/>
      <c r="BG172" s="138"/>
      <c r="BH172" s="138"/>
      <c r="BI172" s="138"/>
      <c r="BJ172" s="140"/>
      <c r="BK172" s="32" t="str">
        <f t="shared" si="92"/>
        <v>ENT_31_19_ベース_経過記録情報モジュール_プロブレムレコード.sql</v>
      </c>
    </row>
    <row r="173" spans="1:63" ht="37.5" hidden="1" customHeight="1" outlineLevel="1">
      <c r="A173" s="34" t="str">
        <f t="shared" si="87"/>
        <v>ベース_経過記録情報モジュール_身体所見レコード</v>
      </c>
      <c r="B173" s="144" t="str">
        <f t="shared" si="88"/>
        <v>31</v>
      </c>
      <c r="C173" s="145"/>
      <c r="D173" s="145"/>
      <c r="E173" s="145"/>
      <c r="F173" s="146"/>
      <c r="G173" s="141" t="s">
        <v>309</v>
      </c>
      <c r="H173" s="142"/>
      <c r="I173" s="142"/>
      <c r="J173" s="142"/>
      <c r="K173" s="142"/>
      <c r="L173" s="142"/>
      <c r="M173" s="142"/>
      <c r="N173" s="143"/>
      <c r="O173" s="81" t="str">
        <f t="shared" si="89"/>
        <v>ENT_31_20</v>
      </c>
      <c r="P173" s="134" t="s">
        <v>3776</v>
      </c>
      <c r="Q173" s="135"/>
      <c r="R173" s="135"/>
      <c r="S173" s="135"/>
      <c r="T173" s="135"/>
      <c r="U173" s="135"/>
      <c r="V173" s="135"/>
      <c r="W173" s="135"/>
      <c r="X173" s="135"/>
      <c r="Y173" s="135"/>
      <c r="Z173" s="135"/>
      <c r="AA173" s="135"/>
      <c r="AB173" s="135"/>
      <c r="AC173" s="135"/>
      <c r="AD173" s="136"/>
      <c r="AE173" s="137" t="str">
        <f t="shared" ca="1" si="90"/>
        <v>azn_202310_base_merge_mml_pc_physical_exam</v>
      </c>
      <c r="AF173" s="138"/>
      <c r="AG173" s="138"/>
      <c r="AH173" s="138"/>
      <c r="AI173" s="138"/>
      <c r="AJ173" s="138"/>
      <c r="AK173" s="138"/>
      <c r="AL173" s="139"/>
      <c r="AM173" s="137" t="str">
        <f t="shared" ca="1" si="91"/>
        <v>バックアップ_経過記録情報モジュール_身体所見レコードテーブルから対象患者で絞り込んだ結果を格納するテーブル</v>
      </c>
      <c r="AN173" s="138"/>
      <c r="AO173" s="138"/>
      <c r="AP173" s="138"/>
      <c r="AQ173" s="138"/>
      <c r="AR173" s="138"/>
      <c r="AS173" s="138"/>
      <c r="AT173" s="138"/>
      <c r="AU173" s="138"/>
      <c r="AV173" s="138"/>
      <c r="AW173" s="138"/>
      <c r="AX173" s="138"/>
      <c r="AY173" s="138"/>
      <c r="AZ173" s="138"/>
      <c r="BA173" s="138"/>
      <c r="BB173" s="138"/>
      <c r="BC173" s="138"/>
      <c r="BD173" s="138"/>
      <c r="BE173" s="138"/>
      <c r="BF173" s="138"/>
      <c r="BG173" s="138"/>
      <c r="BH173" s="138"/>
      <c r="BI173" s="138"/>
      <c r="BJ173" s="140"/>
      <c r="BK173" s="32" t="str">
        <f t="shared" si="92"/>
        <v>ENT_31_20_ベース_経過記録情報モジュール_身体所見レコード.sql</v>
      </c>
    </row>
    <row r="174" spans="1:63" ht="37.5" hidden="1" customHeight="1" outlineLevel="1">
      <c r="A174" s="34" t="str">
        <f t="shared" si="87"/>
        <v>ベース_経過記録情報モジュール_アセスメントレコード</v>
      </c>
      <c r="B174" s="144" t="str">
        <f t="shared" si="88"/>
        <v>31</v>
      </c>
      <c r="C174" s="145"/>
      <c r="D174" s="145"/>
      <c r="E174" s="145"/>
      <c r="F174" s="146"/>
      <c r="G174" s="141" t="s">
        <v>309</v>
      </c>
      <c r="H174" s="142"/>
      <c r="I174" s="142"/>
      <c r="J174" s="142"/>
      <c r="K174" s="142"/>
      <c r="L174" s="142"/>
      <c r="M174" s="142"/>
      <c r="N174" s="143"/>
      <c r="O174" s="81" t="str">
        <f t="shared" si="89"/>
        <v>ENT_31_21</v>
      </c>
      <c r="P174" s="134" t="s">
        <v>3777</v>
      </c>
      <c r="Q174" s="135"/>
      <c r="R174" s="135"/>
      <c r="S174" s="135"/>
      <c r="T174" s="135"/>
      <c r="U174" s="135"/>
      <c r="V174" s="135"/>
      <c r="W174" s="135"/>
      <c r="X174" s="135"/>
      <c r="Y174" s="135"/>
      <c r="Z174" s="135"/>
      <c r="AA174" s="135"/>
      <c r="AB174" s="135"/>
      <c r="AC174" s="135"/>
      <c r="AD174" s="136"/>
      <c r="AE174" s="137" t="str">
        <f t="shared" ca="1" si="90"/>
        <v>azn_202310_base_merge_mml_pc_assessment</v>
      </c>
      <c r="AF174" s="138"/>
      <c r="AG174" s="138"/>
      <c r="AH174" s="138"/>
      <c r="AI174" s="138"/>
      <c r="AJ174" s="138"/>
      <c r="AK174" s="138"/>
      <c r="AL174" s="139"/>
      <c r="AM174" s="137" t="str">
        <f t="shared" ca="1" si="91"/>
        <v>バックアップ_経過記録情報モジュール_アセスメントレコードテーブルから対象患者で絞り込んだ結果を格納するテーブル</v>
      </c>
      <c r="AN174" s="138"/>
      <c r="AO174" s="138"/>
      <c r="AP174" s="138"/>
      <c r="AQ174" s="138"/>
      <c r="AR174" s="138"/>
      <c r="AS174" s="138"/>
      <c r="AT174" s="138"/>
      <c r="AU174" s="138"/>
      <c r="AV174" s="138"/>
      <c r="AW174" s="138"/>
      <c r="AX174" s="138"/>
      <c r="AY174" s="138"/>
      <c r="AZ174" s="138"/>
      <c r="BA174" s="138"/>
      <c r="BB174" s="138"/>
      <c r="BC174" s="138"/>
      <c r="BD174" s="138"/>
      <c r="BE174" s="138"/>
      <c r="BF174" s="138"/>
      <c r="BG174" s="138"/>
      <c r="BH174" s="138"/>
      <c r="BI174" s="138"/>
      <c r="BJ174" s="140"/>
      <c r="BK174" s="32" t="str">
        <f t="shared" si="92"/>
        <v>ENT_31_21_ベース_経過記録情報モジュール_アセスメントレコード.sql</v>
      </c>
    </row>
    <row r="175" spans="1:63" ht="37.5" hidden="1" customHeight="1" outlineLevel="1">
      <c r="A175" s="34" t="str">
        <f t="shared" si="87"/>
        <v>ベース_経過記録情報モジュール_外部参照レコード</v>
      </c>
      <c r="B175" s="144" t="str">
        <f t="shared" si="88"/>
        <v>31</v>
      </c>
      <c r="C175" s="145"/>
      <c r="D175" s="145"/>
      <c r="E175" s="145"/>
      <c r="F175" s="146"/>
      <c r="G175" s="141" t="s">
        <v>309</v>
      </c>
      <c r="H175" s="142"/>
      <c r="I175" s="142"/>
      <c r="J175" s="142"/>
      <c r="K175" s="142"/>
      <c r="L175" s="142"/>
      <c r="M175" s="142"/>
      <c r="N175" s="143"/>
      <c r="O175" s="81" t="str">
        <f t="shared" si="89"/>
        <v>ENT_31_22</v>
      </c>
      <c r="P175" s="134" t="s">
        <v>3778</v>
      </c>
      <c r="Q175" s="135"/>
      <c r="R175" s="135"/>
      <c r="S175" s="135"/>
      <c r="T175" s="135"/>
      <c r="U175" s="135"/>
      <c r="V175" s="135"/>
      <c r="W175" s="135"/>
      <c r="X175" s="135"/>
      <c r="Y175" s="135"/>
      <c r="Z175" s="135"/>
      <c r="AA175" s="135"/>
      <c r="AB175" s="135"/>
      <c r="AC175" s="135"/>
      <c r="AD175" s="136"/>
      <c r="AE175" s="137" t="str">
        <f t="shared" ca="1" si="90"/>
        <v>azn_202310_base_merge_mml_pc_external_reference</v>
      </c>
      <c r="AF175" s="138"/>
      <c r="AG175" s="138"/>
      <c r="AH175" s="138"/>
      <c r="AI175" s="138"/>
      <c r="AJ175" s="138"/>
      <c r="AK175" s="138"/>
      <c r="AL175" s="139"/>
      <c r="AM175" s="137" t="str">
        <f t="shared" ca="1" si="91"/>
        <v>バックアップ_経過記録情報モジュール_外部参照レコードテーブルから対象患者で絞り込んだ結果を格納するテーブル</v>
      </c>
      <c r="AN175" s="138"/>
      <c r="AO175" s="138"/>
      <c r="AP175" s="138"/>
      <c r="AQ175" s="138"/>
      <c r="AR175" s="138"/>
      <c r="AS175" s="138"/>
      <c r="AT175" s="138"/>
      <c r="AU175" s="138"/>
      <c r="AV175" s="138"/>
      <c r="AW175" s="138"/>
      <c r="AX175" s="138"/>
      <c r="AY175" s="138"/>
      <c r="AZ175" s="138"/>
      <c r="BA175" s="138"/>
      <c r="BB175" s="138"/>
      <c r="BC175" s="138"/>
      <c r="BD175" s="138"/>
      <c r="BE175" s="138"/>
      <c r="BF175" s="138"/>
      <c r="BG175" s="138"/>
      <c r="BH175" s="138"/>
      <c r="BI175" s="138"/>
      <c r="BJ175" s="140"/>
      <c r="BK175" s="32" t="str">
        <f t="shared" si="92"/>
        <v>ENT_31_22_ベース_経過記録情報モジュール_外部参照レコード.sql</v>
      </c>
    </row>
    <row r="176" spans="1:63" ht="37.5" hidden="1" customHeight="1" outlineLevel="1">
      <c r="A176" s="34" t="str">
        <f t="shared" si="87"/>
        <v>ベース_臨床サマリーモジュール_臨床サマリー情報レコード</v>
      </c>
      <c r="B176" s="144" t="str">
        <f t="shared" si="88"/>
        <v>31</v>
      </c>
      <c r="C176" s="145"/>
      <c r="D176" s="145"/>
      <c r="E176" s="145"/>
      <c r="F176" s="146"/>
      <c r="G176" s="141" t="s">
        <v>309</v>
      </c>
      <c r="H176" s="142"/>
      <c r="I176" s="142"/>
      <c r="J176" s="142"/>
      <c r="K176" s="142"/>
      <c r="L176" s="142"/>
      <c r="M176" s="142"/>
      <c r="N176" s="143"/>
      <c r="O176" s="81" t="str">
        <f t="shared" si="89"/>
        <v>ENT_31_23</v>
      </c>
      <c r="P176" s="134" t="s">
        <v>3779</v>
      </c>
      <c r="Q176" s="135"/>
      <c r="R176" s="135"/>
      <c r="S176" s="135"/>
      <c r="T176" s="135"/>
      <c r="U176" s="135"/>
      <c r="V176" s="135"/>
      <c r="W176" s="135"/>
      <c r="X176" s="135"/>
      <c r="Y176" s="135"/>
      <c r="Z176" s="135"/>
      <c r="AA176" s="135"/>
      <c r="AB176" s="135"/>
      <c r="AC176" s="135"/>
      <c r="AD176" s="136"/>
      <c r="AE176" s="137" t="str">
        <f t="shared" ca="1" si="90"/>
        <v>azn_202310_base_merge_mml_sm_summary</v>
      </c>
      <c r="AF176" s="138"/>
      <c r="AG176" s="138"/>
      <c r="AH176" s="138"/>
      <c r="AI176" s="138"/>
      <c r="AJ176" s="138"/>
      <c r="AK176" s="138"/>
      <c r="AL176" s="139"/>
      <c r="AM176" s="137" t="str">
        <f t="shared" ca="1" si="91"/>
        <v>バックアップ_臨床サマリーモジュール_臨床サマリー情報レコードテーブルから対象患者で絞り込んだ結果を格納するテーブル</v>
      </c>
      <c r="AN176" s="138"/>
      <c r="AO176" s="138"/>
      <c r="AP176" s="138"/>
      <c r="AQ176" s="138"/>
      <c r="AR176" s="138"/>
      <c r="AS176" s="138"/>
      <c r="AT176" s="138"/>
      <c r="AU176" s="138"/>
      <c r="AV176" s="138"/>
      <c r="AW176" s="138"/>
      <c r="AX176" s="138"/>
      <c r="AY176" s="138"/>
      <c r="AZ176" s="138"/>
      <c r="BA176" s="138"/>
      <c r="BB176" s="138"/>
      <c r="BC176" s="138"/>
      <c r="BD176" s="138"/>
      <c r="BE176" s="138"/>
      <c r="BF176" s="138"/>
      <c r="BG176" s="138"/>
      <c r="BH176" s="138"/>
      <c r="BI176" s="138"/>
      <c r="BJ176" s="140"/>
      <c r="BK176" s="32" t="str">
        <f t="shared" si="92"/>
        <v>ENT_31_23_ベース_臨床サマリーモジュール_臨床サマリー情報レコード.sql</v>
      </c>
    </row>
    <row r="177" spans="1:63" ht="37.5" hidden="1" customHeight="1" outlineLevel="1">
      <c r="A177" s="34" t="str">
        <f t="shared" si="87"/>
        <v>ベース_臨床サマリーモジュール_外来受診レコード</v>
      </c>
      <c r="B177" s="144" t="str">
        <f t="shared" si="88"/>
        <v>31</v>
      </c>
      <c r="C177" s="145"/>
      <c r="D177" s="145"/>
      <c r="E177" s="145"/>
      <c r="F177" s="146"/>
      <c r="G177" s="141" t="s">
        <v>309</v>
      </c>
      <c r="H177" s="142"/>
      <c r="I177" s="142"/>
      <c r="J177" s="142"/>
      <c r="K177" s="142"/>
      <c r="L177" s="142"/>
      <c r="M177" s="142"/>
      <c r="N177" s="143"/>
      <c r="O177" s="81" t="str">
        <f t="shared" si="89"/>
        <v>ENT_31_24</v>
      </c>
      <c r="P177" s="134" t="s">
        <v>3780</v>
      </c>
      <c r="Q177" s="135"/>
      <c r="R177" s="135"/>
      <c r="S177" s="135"/>
      <c r="T177" s="135"/>
      <c r="U177" s="135"/>
      <c r="V177" s="135"/>
      <c r="W177" s="135"/>
      <c r="X177" s="135"/>
      <c r="Y177" s="135"/>
      <c r="Z177" s="135"/>
      <c r="AA177" s="135"/>
      <c r="AB177" s="135"/>
      <c r="AC177" s="135"/>
      <c r="AD177" s="136"/>
      <c r="AE177" s="137" t="str">
        <f t="shared" ca="1" si="90"/>
        <v>azn_202310_base_merge_mml_sm_out_patient</v>
      </c>
      <c r="AF177" s="138"/>
      <c r="AG177" s="138"/>
      <c r="AH177" s="138"/>
      <c r="AI177" s="138"/>
      <c r="AJ177" s="138"/>
      <c r="AK177" s="138"/>
      <c r="AL177" s="139"/>
      <c r="AM177" s="137" t="str">
        <f t="shared" ca="1" si="91"/>
        <v>バックアップ_臨床サマリーモジュール_外来受診レコードテーブルから対象患者で絞り込んだ結果を格納するテーブル</v>
      </c>
      <c r="AN177" s="138"/>
      <c r="AO177" s="138"/>
      <c r="AP177" s="138"/>
      <c r="AQ177" s="138"/>
      <c r="AR177" s="138"/>
      <c r="AS177" s="138"/>
      <c r="AT177" s="138"/>
      <c r="AU177" s="138"/>
      <c r="AV177" s="138"/>
      <c r="AW177" s="138"/>
      <c r="AX177" s="138"/>
      <c r="AY177" s="138"/>
      <c r="AZ177" s="138"/>
      <c r="BA177" s="138"/>
      <c r="BB177" s="138"/>
      <c r="BC177" s="138"/>
      <c r="BD177" s="138"/>
      <c r="BE177" s="138"/>
      <c r="BF177" s="138"/>
      <c r="BG177" s="138"/>
      <c r="BH177" s="138"/>
      <c r="BI177" s="138"/>
      <c r="BJ177" s="140"/>
      <c r="BK177" s="32" t="str">
        <f t="shared" si="92"/>
        <v>ENT_31_24_ベース_臨床サマリーモジュール_外来受診レコード.sql</v>
      </c>
    </row>
    <row r="178" spans="1:63" ht="37.5" hidden="1" customHeight="1" outlineLevel="1">
      <c r="A178" s="34" t="str">
        <f t="shared" si="87"/>
        <v>ベース_臨床サマリーモジュール_入院レコード</v>
      </c>
      <c r="B178" s="144" t="str">
        <f t="shared" si="88"/>
        <v>31</v>
      </c>
      <c r="C178" s="145"/>
      <c r="D178" s="145"/>
      <c r="E178" s="145"/>
      <c r="F178" s="146"/>
      <c r="G178" s="141" t="s">
        <v>309</v>
      </c>
      <c r="H178" s="142"/>
      <c r="I178" s="142"/>
      <c r="J178" s="142"/>
      <c r="K178" s="142"/>
      <c r="L178" s="142"/>
      <c r="M178" s="142"/>
      <c r="N178" s="143"/>
      <c r="O178" s="81" t="str">
        <f t="shared" si="89"/>
        <v>ENT_31_25</v>
      </c>
      <c r="P178" s="134" t="s">
        <v>3781</v>
      </c>
      <c r="Q178" s="135"/>
      <c r="R178" s="135"/>
      <c r="S178" s="135"/>
      <c r="T178" s="135"/>
      <c r="U178" s="135"/>
      <c r="V178" s="135"/>
      <c r="W178" s="135"/>
      <c r="X178" s="135"/>
      <c r="Y178" s="135"/>
      <c r="Z178" s="135"/>
      <c r="AA178" s="135"/>
      <c r="AB178" s="135"/>
      <c r="AC178" s="135"/>
      <c r="AD178" s="136"/>
      <c r="AE178" s="137" t="str">
        <f t="shared" ca="1" si="90"/>
        <v>azn_202310_base_merge_mml_sm_in_patient</v>
      </c>
      <c r="AF178" s="138"/>
      <c r="AG178" s="138"/>
      <c r="AH178" s="138"/>
      <c r="AI178" s="138"/>
      <c r="AJ178" s="138"/>
      <c r="AK178" s="138"/>
      <c r="AL178" s="139"/>
      <c r="AM178" s="137" t="str">
        <f t="shared" ca="1" si="91"/>
        <v>バックアップ_臨床サマリーモジュール_入院レコードテーブルから対象患者で絞り込んだ結果を格納するテーブル</v>
      </c>
      <c r="AN178" s="138"/>
      <c r="AO178" s="138"/>
      <c r="AP178" s="138"/>
      <c r="AQ178" s="138"/>
      <c r="AR178" s="138"/>
      <c r="AS178" s="138"/>
      <c r="AT178" s="138"/>
      <c r="AU178" s="138"/>
      <c r="AV178" s="138"/>
      <c r="AW178" s="138"/>
      <c r="AX178" s="138"/>
      <c r="AY178" s="138"/>
      <c r="AZ178" s="138"/>
      <c r="BA178" s="138"/>
      <c r="BB178" s="138"/>
      <c r="BC178" s="138"/>
      <c r="BD178" s="138"/>
      <c r="BE178" s="138"/>
      <c r="BF178" s="138"/>
      <c r="BG178" s="138"/>
      <c r="BH178" s="138"/>
      <c r="BI178" s="138"/>
      <c r="BJ178" s="140"/>
      <c r="BK178" s="32" t="str">
        <f t="shared" si="92"/>
        <v>ENT_31_25_ベース_臨床サマリーモジュール_入院レコード.sql</v>
      </c>
    </row>
    <row r="179" spans="1:63" ht="37.5" hidden="1" customHeight="1" outlineLevel="1">
      <c r="A179" s="34" t="str">
        <f t="shared" si="87"/>
        <v>ベース_臨床サマリーモジュール_経過記録レコード</v>
      </c>
      <c r="B179" s="144" t="str">
        <f t="shared" si="88"/>
        <v>31</v>
      </c>
      <c r="C179" s="145"/>
      <c r="D179" s="145"/>
      <c r="E179" s="145"/>
      <c r="F179" s="146"/>
      <c r="G179" s="141" t="s">
        <v>309</v>
      </c>
      <c r="H179" s="142"/>
      <c r="I179" s="142"/>
      <c r="J179" s="142"/>
      <c r="K179" s="142"/>
      <c r="L179" s="142"/>
      <c r="M179" s="142"/>
      <c r="N179" s="143"/>
      <c r="O179" s="81" t="str">
        <f t="shared" si="89"/>
        <v>ENT_31_26</v>
      </c>
      <c r="P179" s="134" t="s">
        <v>3782</v>
      </c>
      <c r="Q179" s="135"/>
      <c r="R179" s="135"/>
      <c r="S179" s="135"/>
      <c r="T179" s="135"/>
      <c r="U179" s="135"/>
      <c r="V179" s="135"/>
      <c r="W179" s="135"/>
      <c r="X179" s="135"/>
      <c r="Y179" s="135"/>
      <c r="Z179" s="135"/>
      <c r="AA179" s="135"/>
      <c r="AB179" s="135"/>
      <c r="AC179" s="135"/>
      <c r="AD179" s="136"/>
      <c r="AE179" s="137" t="str">
        <f t="shared" ca="1" si="90"/>
        <v>azn_202310_base_merge_mml_sm_clinical_course</v>
      </c>
      <c r="AF179" s="138"/>
      <c r="AG179" s="138"/>
      <c r="AH179" s="138"/>
      <c r="AI179" s="138"/>
      <c r="AJ179" s="138"/>
      <c r="AK179" s="138"/>
      <c r="AL179" s="139"/>
      <c r="AM179" s="137" t="str">
        <f t="shared" ca="1" si="91"/>
        <v>バックアップ_臨床サマリーモジュール_経過記録レコードテーブルから対象患者で絞り込んだ結果を格納するテーブル</v>
      </c>
      <c r="AN179" s="138"/>
      <c r="AO179" s="138"/>
      <c r="AP179" s="138"/>
      <c r="AQ179" s="138"/>
      <c r="AR179" s="138"/>
      <c r="AS179" s="138"/>
      <c r="AT179" s="138"/>
      <c r="AU179" s="138"/>
      <c r="AV179" s="138"/>
      <c r="AW179" s="138"/>
      <c r="AX179" s="138"/>
      <c r="AY179" s="138"/>
      <c r="AZ179" s="138"/>
      <c r="BA179" s="138"/>
      <c r="BB179" s="138"/>
      <c r="BC179" s="138"/>
      <c r="BD179" s="138"/>
      <c r="BE179" s="138"/>
      <c r="BF179" s="138"/>
      <c r="BG179" s="138"/>
      <c r="BH179" s="138"/>
      <c r="BI179" s="138"/>
      <c r="BJ179" s="140"/>
      <c r="BK179" s="32" t="str">
        <f t="shared" si="92"/>
        <v>ENT_31_26_ベース_臨床サマリーモジュール_経過記録レコード.sql</v>
      </c>
    </row>
    <row r="180" spans="1:63" ht="37.5" hidden="1" customHeight="1" outlineLevel="1">
      <c r="A180" s="34" t="str">
        <f t="shared" si="87"/>
        <v>ベース_臨床サマリーモジュール_検査結果レコード</v>
      </c>
      <c r="B180" s="144" t="str">
        <f t="shared" si="88"/>
        <v>31</v>
      </c>
      <c r="C180" s="145"/>
      <c r="D180" s="145"/>
      <c r="E180" s="145"/>
      <c r="F180" s="146"/>
      <c r="G180" s="141" t="s">
        <v>309</v>
      </c>
      <c r="H180" s="142"/>
      <c r="I180" s="142"/>
      <c r="J180" s="142"/>
      <c r="K180" s="142"/>
      <c r="L180" s="142"/>
      <c r="M180" s="142"/>
      <c r="N180" s="143"/>
      <c r="O180" s="81" t="str">
        <f t="shared" si="89"/>
        <v>ENT_31_27</v>
      </c>
      <c r="P180" s="134" t="s">
        <v>3783</v>
      </c>
      <c r="Q180" s="135"/>
      <c r="R180" s="135"/>
      <c r="S180" s="135"/>
      <c r="T180" s="135"/>
      <c r="U180" s="135"/>
      <c r="V180" s="135"/>
      <c r="W180" s="135"/>
      <c r="X180" s="135"/>
      <c r="Y180" s="135"/>
      <c r="Z180" s="135"/>
      <c r="AA180" s="135"/>
      <c r="AB180" s="135"/>
      <c r="AC180" s="135"/>
      <c r="AD180" s="136"/>
      <c r="AE180" s="137" t="str">
        <f t="shared" ca="1" si="90"/>
        <v>azn_202310_base_merge_mml_sm_test_results</v>
      </c>
      <c r="AF180" s="138"/>
      <c r="AG180" s="138"/>
      <c r="AH180" s="138"/>
      <c r="AI180" s="138"/>
      <c r="AJ180" s="138"/>
      <c r="AK180" s="138"/>
      <c r="AL180" s="139"/>
      <c r="AM180" s="137" t="str">
        <f t="shared" ca="1" si="91"/>
        <v>バックアップ_臨床サマリーモジュール_検査結果レコードテーブルから対象患者で絞り込んだ結果を格納するテーブル</v>
      </c>
      <c r="AN180" s="138"/>
      <c r="AO180" s="138"/>
      <c r="AP180" s="138"/>
      <c r="AQ180" s="138"/>
      <c r="AR180" s="138"/>
      <c r="AS180" s="138"/>
      <c r="AT180" s="138"/>
      <c r="AU180" s="138"/>
      <c r="AV180" s="138"/>
      <c r="AW180" s="138"/>
      <c r="AX180" s="138"/>
      <c r="AY180" s="138"/>
      <c r="AZ180" s="138"/>
      <c r="BA180" s="138"/>
      <c r="BB180" s="138"/>
      <c r="BC180" s="138"/>
      <c r="BD180" s="138"/>
      <c r="BE180" s="138"/>
      <c r="BF180" s="138"/>
      <c r="BG180" s="138"/>
      <c r="BH180" s="138"/>
      <c r="BI180" s="138"/>
      <c r="BJ180" s="140"/>
      <c r="BK180" s="32" t="str">
        <f t="shared" si="92"/>
        <v>ENT_31_27_ベース_臨床サマリーモジュール_検査結果レコード.sql</v>
      </c>
    </row>
    <row r="181" spans="1:63" ht="37.5" hidden="1" customHeight="1" outlineLevel="1">
      <c r="A181" s="34" t="str">
        <f t="shared" si="87"/>
        <v>ベース_検歴情報モジュール_検歴情報</v>
      </c>
      <c r="B181" s="144" t="str">
        <f t="shared" si="88"/>
        <v>31</v>
      </c>
      <c r="C181" s="145"/>
      <c r="D181" s="145"/>
      <c r="E181" s="145"/>
      <c r="F181" s="146"/>
      <c r="G181" s="141" t="s">
        <v>309</v>
      </c>
      <c r="H181" s="142"/>
      <c r="I181" s="142"/>
      <c r="J181" s="142"/>
      <c r="K181" s="142"/>
      <c r="L181" s="142"/>
      <c r="M181" s="142"/>
      <c r="N181" s="143"/>
      <c r="O181" s="81" t="str">
        <f t="shared" si="89"/>
        <v>ENT_31_28</v>
      </c>
      <c r="P181" s="134" t="s">
        <v>3784</v>
      </c>
      <c r="Q181" s="135"/>
      <c r="R181" s="135"/>
      <c r="S181" s="135"/>
      <c r="T181" s="135"/>
      <c r="U181" s="135"/>
      <c r="V181" s="135"/>
      <c r="W181" s="135"/>
      <c r="X181" s="135"/>
      <c r="Y181" s="135"/>
      <c r="Z181" s="135"/>
      <c r="AA181" s="135"/>
      <c r="AB181" s="135"/>
      <c r="AC181" s="135"/>
      <c r="AD181" s="136"/>
      <c r="AE181" s="137" t="str">
        <f t="shared" ca="1" si="90"/>
        <v>azn_202310_base_merge_mml_lb_test</v>
      </c>
      <c r="AF181" s="138"/>
      <c r="AG181" s="138"/>
      <c r="AH181" s="138"/>
      <c r="AI181" s="138"/>
      <c r="AJ181" s="138"/>
      <c r="AK181" s="138"/>
      <c r="AL181" s="139"/>
      <c r="AM181" s="137" t="str">
        <f t="shared" ca="1" si="91"/>
        <v>バックアップ_検歴情報モジュール_検歴情報テーブルから対象患者で絞り込んだ結果を格納するテーブル</v>
      </c>
      <c r="AN181" s="138"/>
      <c r="AO181" s="138"/>
      <c r="AP181" s="138"/>
      <c r="AQ181" s="138"/>
      <c r="AR181" s="138"/>
      <c r="AS181" s="138"/>
      <c r="AT181" s="138"/>
      <c r="AU181" s="138"/>
      <c r="AV181" s="138"/>
      <c r="AW181" s="138"/>
      <c r="AX181" s="138"/>
      <c r="AY181" s="138"/>
      <c r="AZ181" s="138"/>
      <c r="BA181" s="138"/>
      <c r="BB181" s="138"/>
      <c r="BC181" s="138"/>
      <c r="BD181" s="138"/>
      <c r="BE181" s="138"/>
      <c r="BF181" s="138"/>
      <c r="BG181" s="138"/>
      <c r="BH181" s="138"/>
      <c r="BI181" s="138"/>
      <c r="BJ181" s="140"/>
      <c r="BK181" s="32" t="str">
        <f t="shared" si="92"/>
        <v>ENT_31_28_ベース_検歴情報モジュール_検歴情報.sql</v>
      </c>
    </row>
    <row r="182" spans="1:63" ht="37.5" hidden="1" customHeight="1" outlineLevel="1">
      <c r="A182" s="34" t="str">
        <f t="shared" si="87"/>
        <v>ベース_検歴情報モジュール_検歴検体材料</v>
      </c>
      <c r="B182" s="144" t="str">
        <f t="shared" si="88"/>
        <v>31</v>
      </c>
      <c r="C182" s="145"/>
      <c r="D182" s="145"/>
      <c r="E182" s="145"/>
      <c r="F182" s="146"/>
      <c r="G182" s="141" t="s">
        <v>309</v>
      </c>
      <c r="H182" s="142"/>
      <c r="I182" s="142"/>
      <c r="J182" s="142"/>
      <c r="K182" s="142"/>
      <c r="L182" s="142"/>
      <c r="M182" s="142"/>
      <c r="N182" s="143"/>
      <c r="O182" s="81" t="str">
        <f t="shared" si="89"/>
        <v>ENT_31_29</v>
      </c>
      <c r="P182" s="134" t="s">
        <v>3785</v>
      </c>
      <c r="Q182" s="135"/>
      <c r="R182" s="135"/>
      <c r="S182" s="135"/>
      <c r="T182" s="135"/>
      <c r="U182" s="135"/>
      <c r="V182" s="135"/>
      <c r="W182" s="135"/>
      <c r="X182" s="135"/>
      <c r="Y182" s="135"/>
      <c r="Z182" s="135"/>
      <c r="AA182" s="135"/>
      <c r="AB182" s="135"/>
      <c r="AC182" s="135"/>
      <c r="AD182" s="136"/>
      <c r="AE182" s="137" t="str">
        <f t="shared" ca="1" si="90"/>
        <v>azn_202310_base_merge_mml_lb_specimen</v>
      </c>
      <c r="AF182" s="138"/>
      <c r="AG182" s="138"/>
      <c r="AH182" s="138"/>
      <c r="AI182" s="138"/>
      <c r="AJ182" s="138"/>
      <c r="AK182" s="138"/>
      <c r="AL182" s="139"/>
      <c r="AM182" s="137" t="str">
        <f t="shared" ca="1" si="91"/>
        <v>バックアップ_検歴情報モジュール_検歴検体材料テーブルから対象患者で絞り込んだ結果を格納するテーブル</v>
      </c>
      <c r="AN182" s="138"/>
      <c r="AO182" s="138"/>
      <c r="AP182" s="138"/>
      <c r="AQ182" s="138"/>
      <c r="AR182" s="138"/>
      <c r="AS182" s="138"/>
      <c r="AT182" s="138"/>
      <c r="AU182" s="138"/>
      <c r="AV182" s="138"/>
      <c r="AW182" s="138"/>
      <c r="AX182" s="138"/>
      <c r="AY182" s="138"/>
      <c r="AZ182" s="138"/>
      <c r="BA182" s="138"/>
      <c r="BB182" s="138"/>
      <c r="BC182" s="138"/>
      <c r="BD182" s="138"/>
      <c r="BE182" s="138"/>
      <c r="BF182" s="138"/>
      <c r="BG182" s="138"/>
      <c r="BH182" s="138"/>
      <c r="BI182" s="138"/>
      <c r="BJ182" s="140"/>
      <c r="BK182" s="32" t="str">
        <f t="shared" si="92"/>
        <v>ENT_31_29_ベース_検歴情報モジュール_検歴検体材料.sql</v>
      </c>
    </row>
    <row r="183" spans="1:63" ht="37.5" hidden="1" customHeight="1" outlineLevel="1">
      <c r="A183" s="34" t="str">
        <f t="shared" si="74"/>
        <v>ベース_検歴情報モジュール_検歴項目情報</v>
      </c>
      <c r="B183" s="144" t="str">
        <f t="shared" ref="B183" si="93">TEXT(31,"00")</f>
        <v>31</v>
      </c>
      <c r="C183" s="145"/>
      <c r="D183" s="145"/>
      <c r="E183" s="145"/>
      <c r="F183" s="146"/>
      <c r="G183" s="141" t="s">
        <v>309</v>
      </c>
      <c r="H183" s="142"/>
      <c r="I183" s="142"/>
      <c r="J183" s="142"/>
      <c r="K183" s="142"/>
      <c r="L183" s="142"/>
      <c r="M183" s="142"/>
      <c r="N183" s="143"/>
      <c r="O183" s="81" t="str">
        <f>IF(P183&lt;&gt;"","ENT_"&amp;RIGHT(B183,2)&amp;"_"&amp;TEXT(ROW(O183)-ROW(O$154)+1,"00"),"")</f>
        <v>ENT_31_30</v>
      </c>
      <c r="P183" s="134" t="s">
        <v>3786</v>
      </c>
      <c r="Q183" s="135"/>
      <c r="R183" s="135"/>
      <c r="S183" s="135"/>
      <c r="T183" s="135"/>
      <c r="U183" s="135"/>
      <c r="V183" s="135"/>
      <c r="W183" s="135"/>
      <c r="X183" s="135"/>
      <c r="Y183" s="135"/>
      <c r="Z183" s="135"/>
      <c r="AA183" s="135"/>
      <c r="AB183" s="135"/>
      <c r="AC183" s="135"/>
      <c r="AD183" s="136"/>
      <c r="AE183" s="137" t="str">
        <f ca="1">IFERROR(INDIRECT(P183&amp;"!D8"),"")</f>
        <v>azn_202310_base_merge_mml_lb_item</v>
      </c>
      <c r="AF183" s="138"/>
      <c r="AG183" s="138"/>
      <c r="AH183" s="138"/>
      <c r="AI183" s="138"/>
      <c r="AJ183" s="138"/>
      <c r="AK183" s="138"/>
      <c r="AL183" s="139"/>
      <c r="AM183" s="137" t="str">
        <f ca="1">IFERROR(INDIRECT(P183&amp;"!D9"),"")</f>
        <v>バックアップ_検歴情報モジュール_検歴項目情報テーブルから対象患者で絞り込んだ結果を格納するテーブル</v>
      </c>
      <c r="AN183" s="138"/>
      <c r="AO183" s="138"/>
      <c r="AP183" s="138"/>
      <c r="AQ183" s="138"/>
      <c r="AR183" s="138"/>
      <c r="AS183" s="138"/>
      <c r="AT183" s="138"/>
      <c r="AU183" s="138"/>
      <c r="AV183" s="138"/>
      <c r="AW183" s="138"/>
      <c r="AX183" s="138"/>
      <c r="AY183" s="138"/>
      <c r="AZ183" s="138"/>
      <c r="BA183" s="138"/>
      <c r="BB183" s="138"/>
      <c r="BC183" s="138"/>
      <c r="BD183" s="138"/>
      <c r="BE183" s="138"/>
      <c r="BF183" s="138"/>
      <c r="BG183" s="138"/>
      <c r="BH183" s="138"/>
      <c r="BI183" s="138"/>
      <c r="BJ183" s="140"/>
      <c r="BK183" s="32" t="str">
        <f t="shared" si="39"/>
        <v>ENT_31_30_ベース_検歴情報モジュール_検歴項目情報.sql</v>
      </c>
    </row>
    <row r="184" spans="1:63" ht="37.5" customHeight="1" collapsed="1">
      <c r="A184" s="34" t="str">
        <f t="shared" si="74"/>
        <v>ワーク_疾患データ</v>
      </c>
      <c r="B184" s="203" t="str">
        <f>TEXT(41,"00")</f>
        <v>41</v>
      </c>
      <c r="C184" s="204"/>
      <c r="D184" s="204"/>
      <c r="E184" s="204"/>
      <c r="F184" s="205"/>
      <c r="G184" s="206" t="s">
        <v>562</v>
      </c>
      <c r="H184" s="207"/>
      <c r="I184" s="207"/>
      <c r="J184" s="207"/>
      <c r="K184" s="207"/>
      <c r="L184" s="207"/>
      <c r="M184" s="207"/>
      <c r="N184" s="208"/>
      <c r="O184" s="81" t="str">
        <f>IF(P184&lt;&gt;"","ENT_"&amp;RIGHT(B184,2)&amp;"_"&amp;TEXT(ROW(O184)-ROW(O$184)+1,"00"),"")</f>
        <v>ENT_41_01</v>
      </c>
      <c r="P184" s="174" t="s">
        <v>564</v>
      </c>
      <c r="Q184" s="175"/>
      <c r="R184" s="175"/>
      <c r="S184" s="175"/>
      <c r="T184" s="175"/>
      <c r="U184" s="175"/>
      <c r="V184" s="175"/>
      <c r="W184" s="175"/>
      <c r="X184" s="175"/>
      <c r="Y184" s="175"/>
      <c r="Z184" s="175"/>
      <c r="AA184" s="175"/>
      <c r="AB184" s="175"/>
      <c r="AC184" s="175"/>
      <c r="AD184" s="176"/>
      <c r="AE184" s="179" t="str">
        <f t="shared" ref="AE184:AE187" ca="1" si="94">IFERROR(INDIRECT(P184&amp;"!D8"),"")</f>
        <v/>
      </c>
      <c r="AF184" s="180"/>
      <c r="AG184" s="180"/>
      <c r="AH184" s="180"/>
      <c r="AI184" s="180"/>
      <c r="AJ184" s="180"/>
      <c r="AK184" s="180"/>
      <c r="AL184" s="181"/>
      <c r="AM184" s="179" t="str">
        <f t="shared" ref="AM184:AM187" ca="1" si="95">IFERROR(INDIRECT(P184&amp;"!D9"),"")</f>
        <v/>
      </c>
      <c r="AN184" s="180"/>
      <c r="AO184" s="180"/>
      <c r="AP184" s="180"/>
      <c r="AQ184" s="180"/>
      <c r="AR184" s="180"/>
      <c r="AS184" s="180"/>
      <c r="AT184" s="180"/>
      <c r="AU184" s="180"/>
      <c r="AV184" s="180"/>
      <c r="AW184" s="180"/>
      <c r="AX184" s="180"/>
      <c r="AY184" s="180"/>
      <c r="AZ184" s="180"/>
      <c r="BA184" s="180"/>
      <c r="BB184" s="180"/>
      <c r="BC184" s="180"/>
      <c r="BD184" s="180"/>
      <c r="BE184" s="180"/>
      <c r="BF184" s="180"/>
      <c r="BG184" s="180"/>
      <c r="BH184" s="180"/>
      <c r="BI184" s="180"/>
      <c r="BJ184" s="185"/>
      <c r="BK184" s="32" t="str">
        <f t="shared" si="39"/>
        <v>ENT_41_01_ワーク_疾患データ.sql</v>
      </c>
    </row>
    <row r="185" spans="1:63" ht="37.5" customHeight="1">
      <c r="A185" s="34" t="str">
        <f t="shared" si="74"/>
        <v>セレクト_疾患データ_大区分</v>
      </c>
      <c r="B185" s="203" t="str">
        <f>TEXT(51,"00")</f>
        <v>51</v>
      </c>
      <c r="C185" s="204"/>
      <c r="D185" s="204"/>
      <c r="E185" s="204"/>
      <c r="F185" s="205"/>
      <c r="G185" s="141" t="s">
        <v>563</v>
      </c>
      <c r="H185" s="142"/>
      <c r="I185" s="142"/>
      <c r="J185" s="142"/>
      <c r="K185" s="142"/>
      <c r="L185" s="142"/>
      <c r="M185" s="142"/>
      <c r="N185" s="143"/>
      <c r="O185" s="81" t="str">
        <f>IF(P185&lt;&gt;"","ENT_"&amp;RIGHT(B185,2)&amp;"_"&amp;TEXT(ROW(O185)-ROW(O$185)+1,"00"),"")</f>
        <v>ENT_51_01</v>
      </c>
      <c r="P185" s="174" t="s">
        <v>929</v>
      </c>
      <c r="Q185" s="175"/>
      <c r="R185" s="175"/>
      <c r="S185" s="175"/>
      <c r="T185" s="175"/>
      <c r="U185" s="175"/>
      <c r="V185" s="175"/>
      <c r="W185" s="175"/>
      <c r="X185" s="175"/>
      <c r="Y185" s="175"/>
      <c r="Z185" s="175"/>
      <c r="AA185" s="175"/>
      <c r="AB185" s="175"/>
      <c r="AC185" s="175"/>
      <c r="AD185" s="176"/>
      <c r="AE185" s="179" t="str">
        <f t="shared" ca="1" si="94"/>
        <v/>
      </c>
      <c r="AF185" s="180"/>
      <c r="AG185" s="180"/>
      <c r="AH185" s="180"/>
      <c r="AI185" s="180"/>
      <c r="AJ185" s="180"/>
      <c r="AK185" s="180"/>
      <c r="AL185" s="181"/>
      <c r="AM185" s="179" t="str">
        <f t="shared" ca="1" si="95"/>
        <v/>
      </c>
      <c r="AN185" s="180"/>
      <c r="AO185" s="180"/>
      <c r="AP185" s="180"/>
      <c r="AQ185" s="180"/>
      <c r="AR185" s="180"/>
      <c r="AS185" s="180"/>
      <c r="AT185" s="180"/>
      <c r="AU185" s="180"/>
      <c r="AV185" s="180"/>
      <c r="AW185" s="180"/>
      <c r="AX185" s="180"/>
      <c r="AY185" s="180"/>
      <c r="AZ185" s="180"/>
      <c r="BA185" s="180"/>
      <c r="BB185" s="180"/>
      <c r="BC185" s="180"/>
      <c r="BD185" s="180"/>
      <c r="BE185" s="180"/>
      <c r="BF185" s="180"/>
      <c r="BG185" s="180"/>
      <c r="BH185" s="180"/>
      <c r="BI185" s="180"/>
      <c r="BJ185" s="185"/>
      <c r="BK185" s="32" t="str">
        <f t="shared" si="39"/>
        <v>ENT_51_01_セレクト_疾患データ_大区分.sql</v>
      </c>
    </row>
    <row r="186" spans="1:63" ht="37.5" customHeight="1">
      <c r="A186" s="34" t="str">
        <f t="shared" ref="A186" si="96">P186</f>
        <v>セレクト_疾患データ_小区分</v>
      </c>
      <c r="B186" s="144" t="str">
        <f>TEXT(51,"00")</f>
        <v>51</v>
      </c>
      <c r="C186" s="145"/>
      <c r="D186" s="145"/>
      <c r="E186" s="145"/>
      <c r="F186" s="146"/>
      <c r="G186" s="141" t="s">
        <v>563</v>
      </c>
      <c r="H186" s="142"/>
      <c r="I186" s="142"/>
      <c r="J186" s="142"/>
      <c r="K186" s="142"/>
      <c r="L186" s="142"/>
      <c r="M186" s="142"/>
      <c r="N186" s="143"/>
      <c r="O186" s="81" t="str">
        <f>IF(P186&lt;&gt;"","ENT_"&amp;RIGHT(B186,2)&amp;"_"&amp;TEXT(ROW(O186)-ROW(O$185)+1,"00"),"")</f>
        <v>ENT_51_02</v>
      </c>
      <c r="P186" s="134" t="s">
        <v>930</v>
      </c>
      <c r="Q186" s="135"/>
      <c r="R186" s="135"/>
      <c r="S186" s="135"/>
      <c r="T186" s="135"/>
      <c r="U186" s="135"/>
      <c r="V186" s="135"/>
      <c r="W186" s="135"/>
      <c r="X186" s="135"/>
      <c r="Y186" s="135"/>
      <c r="Z186" s="135"/>
      <c r="AA186" s="135"/>
      <c r="AB186" s="135"/>
      <c r="AC186" s="135"/>
      <c r="AD186" s="136"/>
      <c r="AE186" s="137" t="str">
        <f t="shared" ref="AE186" ca="1" si="97">IFERROR(INDIRECT(P186&amp;"!D8"),"")</f>
        <v/>
      </c>
      <c r="AF186" s="138"/>
      <c r="AG186" s="138"/>
      <c r="AH186" s="138"/>
      <c r="AI186" s="138"/>
      <c r="AJ186" s="138"/>
      <c r="AK186" s="138"/>
      <c r="AL186" s="139"/>
      <c r="AM186" s="137" t="str">
        <f t="shared" ref="AM186" ca="1" si="98">IFERROR(INDIRECT(P186&amp;"!D9"),"")</f>
        <v/>
      </c>
      <c r="AN186" s="138"/>
      <c r="AO186" s="138"/>
      <c r="AP186" s="138"/>
      <c r="AQ186" s="138"/>
      <c r="AR186" s="138"/>
      <c r="AS186" s="138"/>
      <c r="AT186" s="138"/>
      <c r="AU186" s="138"/>
      <c r="AV186" s="138"/>
      <c r="AW186" s="138"/>
      <c r="AX186" s="138"/>
      <c r="AY186" s="138"/>
      <c r="AZ186" s="138"/>
      <c r="BA186" s="138"/>
      <c r="BB186" s="138"/>
      <c r="BC186" s="138"/>
      <c r="BD186" s="138"/>
      <c r="BE186" s="138"/>
      <c r="BF186" s="138"/>
      <c r="BG186" s="138"/>
      <c r="BH186" s="138"/>
      <c r="BI186" s="138"/>
      <c r="BJ186" s="140"/>
      <c r="BK186" s="32" t="str">
        <f t="shared" si="39"/>
        <v>ENT_51_02_セレクト_疾患データ_小区分.sql</v>
      </c>
    </row>
    <row r="187" spans="1:63" ht="37.5" customHeight="1" thickBot="1">
      <c r="A187" s="34">
        <f t="shared" si="74"/>
        <v>0</v>
      </c>
      <c r="B187" s="190" t="str">
        <f>TEXT(51,"00")</f>
        <v>51</v>
      </c>
      <c r="C187" s="191"/>
      <c r="D187" s="191"/>
      <c r="E187" s="191"/>
      <c r="F187" s="192"/>
      <c r="G187" s="193" t="s">
        <v>563</v>
      </c>
      <c r="H187" s="194"/>
      <c r="I187" s="194"/>
      <c r="J187" s="194"/>
      <c r="K187" s="194"/>
      <c r="L187" s="194"/>
      <c r="M187" s="194"/>
      <c r="N187" s="195"/>
      <c r="O187" s="82" t="str">
        <f>IF(P187&lt;&gt;"","ENT_"&amp;RIGHT(B187,2)&amp;"_"&amp;TEXT(ROW(O187)-ROW(O$185)+1,"00"),"")</f>
        <v/>
      </c>
      <c r="P187" s="196"/>
      <c r="Q187" s="197"/>
      <c r="R187" s="197"/>
      <c r="S187" s="197"/>
      <c r="T187" s="197"/>
      <c r="U187" s="197"/>
      <c r="V187" s="197"/>
      <c r="W187" s="197"/>
      <c r="X187" s="197"/>
      <c r="Y187" s="197"/>
      <c r="Z187" s="197"/>
      <c r="AA187" s="197"/>
      <c r="AB187" s="197"/>
      <c r="AC187" s="197"/>
      <c r="AD187" s="198"/>
      <c r="AE187" s="199" t="str">
        <f t="shared" ca="1" si="94"/>
        <v/>
      </c>
      <c r="AF187" s="200"/>
      <c r="AG187" s="200"/>
      <c r="AH187" s="200"/>
      <c r="AI187" s="200"/>
      <c r="AJ187" s="200"/>
      <c r="AK187" s="200"/>
      <c r="AL187" s="201"/>
      <c r="AM187" s="199" t="str">
        <f t="shared" ca="1" si="95"/>
        <v/>
      </c>
      <c r="AN187" s="200"/>
      <c r="AO187" s="200"/>
      <c r="AP187" s="200"/>
      <c r="AQ187" s="200"/>
      <c r="AR187" s="200"/>
      <c r="AS187" s="200"/>
      <c r="AT187" s="200"/>
      <c r="AU187" s="200"/>
      <c r="AV187" s="200"/>
      <c r="AW187" s="200"/>
      <c r="AX187" s="200"/>
      <c r="AY187" s="200"/>
      <c r="AZ187" s="200"/>
      <c r="BA187" s="200"/>
      <c r="BB187" s="200"/>
      <c r="BC187" s="200"/>
      <c r="BD187" s="200"/>
      <c r="BE187" s="200"/>
      <c r="BF187" s="200"/>
      <c r="BG187" s="200"/>
      <c r="BH187" s="200"/>
      <c r="BI187" s="200"/>
      <c r="BJ187" s="202"/>
      <c r="BK187" s="32" t="str">
        <f t="shared" si="39"/>
        <v/>
      </c>
    </row>
    <row r="191" spans="1:63" ht="13.5" customHeight="1"/>
    <row r="192" spans="1:63" ht="13.5" customHeight="1"/>
    <row r="193" ht="13.5" customHeight="1"/>
    <row r="194" ht="13.5" customHeight="1"/>
    <row r="195" ht="13.5" customHeight="1"/>
    <row r="196" ht="13.5" customHeight="1"/>
    <row r="197" ht="13.5" customHeight="1"/>
    <row r="198" ht="13.5" customHeight="1"/>
  </sheetData>
  <mergeCells count="927">
    <mergeCell ref="B148:F148"/>
    <mergeCell ref="G148:N148"/>
    <mergeCell ref="P148:AD148"/>
    <mergeCell ref="AE148:AL148"/>
    <mergeCell ref="AM148:BJ148"/>
    <mergeCell ref="B179:F179"/>
    <mergeCell ref="G179:N179"/>
    <mergeCell ref="P179:AD179"/>
    <mergeCell ref="AE179:AL179"/>
    <mergeCell ref="AM179:BJ179"/>
    <mergeCell ref="B182:F182"/>
    <mergeCell ref="G182:N182"/>
    <mergeCell ref="P182:AD182"/>
    <mergeCell ref="AE182:AL182"/>
    <mergeCell ref="AM182:BJ182"/>
    <mergeCell ref="B180:F180"/>
    <mergeCell ref="G180:N180"/>
    <mergeCell ref="P180:AD180"/>
    <mergeCell ref="AE180:AL180"/>
    <mergeCell ref="AM180:BJ180"/>
    <mergeCell ref="B181:F181"/>
    <mergeCell ref="G181:N181"/>
    <mergeCell ref="P181:AD181"/>
    <mergeCell ref="AE181:AL181"/>
    <mergeCell ref="AM181:BJ181"/>
    <mergeCell ref="B177:F177"/>
    <mergeCell ref="G177:N177"/>
    <mergeCell ref="P177:AD177"/>
    <mergeCell ref="AE177:AL177"/>
    <mergeCell ref="AM177:BJ177"/>
    <mergeCell ref="B178:F178"/>
    <mergeCell ref="G178:N178"/>
    <mergeCell ref="P178:AD178"/>
    <mergeCell ref="AE178:AL178"/>
    <mergeCell ref="AM178:BJ178"/>
    <mergeCell ref="B175:F175"/>
    <mergeCell ref="G175:N175"/>
    <mergeCell ref="P175:AD175"/>
    <mergeCell ref="AE175:AL175"/>
    <mergeCell ref="AM175:BJ175"/>
    <mergeCell ref="B176:F176"/>
    <mergeCell ref="G176:N176"/>
    <mergeCell ref="P176:AD176"/>
    <mergeCell ref="AE176:AL176"/>
    <mergeCell ref="AM176:BJ176"/>
    <mergeCell ref="B173:F173"/>
    <mergeCell ref="G173:N173"/>
    <mergeCell ref="P173:AD173"/>
    <mergeCell ref="AE173:AL173"/>
    <mergeCell ref="AM173:BJ173"/>
    <mergeCell ref="B174:F174"/>
    <mergeCell ref="G174:N174"/>
    <mergeCell ref="P174:AD174"/>
    <mergeCell ref="AE174:AL174"/>
    <mergeCell ref="AM174:BJ174"/>
    <mergeCell ref="B171:F171"/>
    <mergeCell ref="G171:N171"/>
    <mergeCell ref="P171:AD171"/>
    <mergeCell ref="AE171:AL171"/>
    <mergeCell ref="AM171:BJ171"/>
    <mergeCell ref="B172:F172"/>
    <mergeCell ref="G172:N172"/>
    <mergeCell ref="P172:AD172"/>
    <mergeCell ref="AE172:AL172"/>
    <mergeCell ref="AM172:BJ172"/>
    <mergeCell ref="B169:F169"/>
    <mergeCell ref="G169:N169"/>
    <mergeCell ref="P169:AD169"/>
    <mergeCell ref="AE169:AL169"/>
    <mergeCell ref="AM169:BJ169"/>
    <mergeCell ref="B170:F170"/>
    <mergeCell ref="G170:N170"/>
    <mergeCell ref="P170:AD170"/>
    <mergeCell ref="AE170:AL170"/>
    <mergeCell ref="AM170:BJ170"/>
    <mergeCell ref="B167:F167"/>
    <mergeCell ref="G167:N167"/>
    <mergeCell ref="P167:AD167"/>
    <mergeCell ref="AE167:AL167"/>
    <mergeCell ref="AM167:BJ167"/>
    <mergeCell ref="B168:F168"/>
    <mergeCell ref="G168:N168"/>
    <mergeCell ref="P168:AD168"/>
    <mergeCell ref="AE168:AL168"/>
    <mergeCell ref="AM168:BJ168"/>
    <mergeCell ref="B165:F165"/>
    <mergeCell ref="G165:N165"/>
    <mergeCell ref="P165:AD165"/>
    <mergeCell ref="AE165:AL165"/>
    <mergeCell ref="AM165:BJ165"/>
    <mergeCell ref="B166:F166"/>
    <mergeCell ref="G166:N166"/>
    <mergeCell ref="P166:AD166"/>
    <mergeCell ref="AE166:AL166"/>
    <mergeCell ref="AM166:BJ166"/>
    <mergeCell ref="G163:N163"/>
    <mergeCell ref="P163:AD163"/>
    <mergeCell ref="AE163:AL163"/>
    <mergeCell ref="AM163:BJ163"/>
    <mergeCell ref="B164:F164"/>
    <mergeCell ref="G164:N164"/>
    <mergeCell ref="P164:AD164"/>
    <mergeCell ref="AE164:AL164"/>
    <mergeCell ref="AM164:BJ164"/>
    <mergeCell ref="AE160:AL160"/>
    <mergeCell ref="AM160:BJ160"/>
    <mergeCell ref="B161:F161"/>
    <mergeCell ref="G161:N161"/>
    <mergeCell ref="P161:AD161"/>
    <mergeCell ref="AE161:AL161"/>
    <mergeCell ref="AM161:BJ161"/>
    <mergeCell ref="B162:F162"/>
    <mergeCell ref="G162:N162"/>
    <mergeCell ref="P162:AD162"/>
    <mergeCell ref="AE162:AL162"/>
    <mergeCell ref="AM162:BJ162"/>
    <mergeCell ref="AE157:AL157"/>
    <mergeCell ref="AM157:BJ157"/>
    <mergeCell ref="B158:F158"/>
    <mergeCell ref="G158:N158"/>
    <mergeCell ref="P158:AD158"/>
    <mergeCell ref="AE158:AL158"/>
    <mergeCell ref="AM158:BJ158"/>
    <mergeCell ref="B159:F159"/>
    <mergeCell ref="G159:N159"/>
    <mergeCell ref="P159:AD159"/>
    <mergeCell ref="AE159:AL159"/>
    <mergeCell ref="AM159:BJ159"/>
    <mergeCell ref="AE153:AL153"/>
    <mergeCell ref="AM153:BJ153"/>
    <mergeCell ref="B155:F155"/>
    <mergeCell ref="G155:N155"/>
    <mergeCell ref="P155:AD155"/>
    <mergeCell ref="AE155:AL155"/>
    <mergeCell ref="AM155:BJ155"/>
    <mergeCell ref="B156:F156"/>
    <mergeCell ref="G156:N156"/>
    <mergeCell ref="P156:AD156"/>
    <mergeCell ref="AE156:AL156"/>
    <mergeCell ref="AM156:BJ156"/>
    <mergeCell ref="B154:F154"/>
    <mergeCell ref="B6:F6"/>
    <mergeCell ref="G6:N6"/>
    <mergeCell ref="P6:AD6"/>
    <mergeCell ref="AE6:AL6"/>
    <mergeCell ref="AM6:BJ6"/>
    <mergeCell ref="B7:F7"/>
    <mergeCell ref="G7:N7"/>
    <mergeCell ref="P7:AD7"/>
    <mergeCell ref="AE7:AL7"/>
    <mergeCell ref="AM7:BJ7"/>
    <mergeCell ref="G80:N80"/>
    <mergeCell ref="G81:N81"/>
    <mergeCell ref="G82:N82"/>
    <mergeCell ref="G83:N83"/>
    <mergeCell ref="G84:N84"/>
    <mergeCell ref="G85:N85"/>
    <mergeCell ref="G86:N86"/>
    <mergeCell ref="G96:N96"/>
    <mergeCell ref="G97:N97"/>
    <mergeCell ref="G87:N87"/>
    <mergeCell ref="G88:N88"/>
    <mergeCell ref="G89:N89"/>
    <mergeCell ref="G90:N90"/>
    <mergeCell ref="G91:N91"/>
    <mergeCell ref="G92:N92"/>
    <mergeCell ref="G93:N93"/>
    <mergeCell ref="G94:N94"/>
    <mergeCell ref="G95:N95"/>
    <mergeCell ref="G71:N71"/>
    <mergeCell ref="G72:N72"/>
    <mergeCell ref="G73:N73"/>
    <mergeCell ref="G74:N74"/>
    <mergeCell ref="G75:N75"/>
    <mergeCell ref="G76:N76"/>
    <mergeCell ref="G77:N77"/>
    <mergeCell ref="G78:N78"/>
    <mergeCell ref="G79:N79"/>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59:N59"/>
    <mergeCell ref="G60:N60"/>
    <mergeCell ref="G61:N61"/>
    <mergeCell ref="G44:N44"/>
    <mergeCell ref="G45:N45"/>
    <mergeCell ref="G46:N46"/>
    <mergeCell ref="G47:N47"/>
    <mergeCell ref="G48:N48"/>
    <mergeCell ref="G49:N49"/>
    <mergeCell ref="G50:N50"/>
    <mergeCell ref="G51:N51"/>
    <mergeCell ref="G52:N52"/>
    <mergeCell ref="G35:N35"/>
    <mergeCell ref="G36:N36"/>
    <mergeCell ref="G37:N37"/>
    <mergeCell ref="G38:N38"/>
    <mergeCell ref="G39:N39"/>
    <mergeCell ref="G40:N40"/>
    <mergeCell ref="G41:N41"/>
    <mergeCell ref="G42:N42"/>
    <mergeCell ref="G43:N43"/>
    <mergeCell ref="G26:N26"/>
    <mergeCell ref="G27:N27"/>
    <mergeCell ref="G28:N28"/>
    <mergeCell ref="G29:N29"/>
    <mergeCell ref="G30:N30"/>
    <mergeCell ref="G31:N31"/>
    <mergeCell ref="G32:N32"/>
    <mergeCell ref="G33:N33"/>
    <mergeCell ref="G34:N34"/>
    <mergeCell ref="G141:N141"/>
    <mergeCell ref="G142:N142"/>
    <mergeCell ref="G143:N143"/>
    <mergeCell ref="G144:N144"/>
    <mergeCell ref="G145:N145"/>
    <mergeCell ref="G146:N146"/>
    <mergeCell ref="G8:N8"/>
    <mergeCell ref="G9:N9"/>
    <mergeCell ref="G10:N10"/>
    <mergeCell ref="G11:N11"/>
    <mergeCell ref="G12:N12"/>
    <mergeCell ref="G13:N13"/>
    <mergeCell ref="G14:N14"/>
    <mergeCell ref="G15:N15"/>
    <mergeCell ref="G16:N16"/>
    <mergeCell ref="G17:N17"/>
    <mergeCell ref="G18:N18"/>
    <mergeCell ref="G19:N19"/>
    <mergeCell ref="G20:N20"/>
    <mergeCell ref="G21:N21"/>
    <mergeCell ref="G22:N22"/>
    <mergeCell ref="G23:N23"/>
    <mergeCell ref="G24:N24"/>
    <mergeCell ref="G25:N25"/>
    <mergeCell ref="G132:N132"/>
    <mergeCell ref="G133:N133"/>
    <mergeCell ref="G134:N134"/>
    <mergeCell ref="G135:N135"/>
    <mergeCell ref="G136:N136"/>
    <mergeCell ref="G137:N137"/>
    <mergeCell ref="G138:N138"/>
    <mergeCell ref="G139:N139"/>
    <mergeCell ref="G140:N140"/>
    <mergeCell ref="G121:N121"/>
    <mergeCell ref="G124:N124"/>
    <mergeCell ref="G125:N125"/>
    <mergeCell ref="G126:N126"/>
    <mergeCell ref="G127:N127"/>
    <mergeCell ref="G128:N128"/>
    <mergeCell ref="G129:N129"/>
    <mergeCell ref="G130:N130"/>
    <mergeCell ref="G131:N131"/>
    <mergeCell ref="G123:N123"/>
    <mergeCell ref="B97:F97"/>
    <mergeCell ref="B98:F98"/>
    <mergeCell ref="B99:F99"/>
    <mergeCell ref="G115:N115"/>
    <mergeCell ref="G116:N116"/>
    <mergeCell ref="G117:N117"/>
    <mergeCell ref="G118:N118"/>
    <mergeCell ref="G119:N119"/>
    <mergeCell ref="G120:N120"/>
    <mergeCell ref="G98:N98"/>
    <mergeCell ref="G99:N99"/>
    <mergeCell ref="B115:F115"/>
    <mergeCell ref="B116:F116"/>
    <mergeCell ref="B117:F117"/>
    <mergeCell ref="B118:F118"/>
    <mergeCell ref="B119:F119"/>
    <mergeCell ref="B120:F120"/>
    <mergeCell ref="B111:F111"/>
    <mergeCell ref="G111:N111"/>
    <mergeCell ref="B107:F107"/>
    <mergeCell ref="G107:N107"/>
    <mergeCell ref="B100:F100"/>
    <mergeCell ref="G100:N100"/>
    <mergeCell ref="B88:F88"/>
    <mergeCell ref="B89:F89"/>
    <mergeCell ref="B90:F90"/>
    <mergeCell ref="B91:F91"/>
    <mergeCell ref="B92:F92"/>
    <mergeCell ref="B93:F93"/>
    <mergeCell ref="B94:F94"/>
    <mergeCell ref="B95:F95"/>
    <mergeCell ref="B96:F96"/>
    <mergeCell ref="B79:F79"/>
    <mergeCell ref="B80:F80"/>
    <mergeCell ref="B81:F81"/>
    <mergeCell ref="B82:F82"/>
    <mergeCell ref="B83:F83"/>
    <mergeCell ref="B84:F84"/>
    <mergeCell ref="B85:F85"/>
    <mergeCell ref="B86:F86"/>
    <mergeCell ref="B87:F87"/>
    <mergeCell ref="B70:F70"/>
    <mergeCell ref="B71:F71"/>
    <mergeCell ref="B72:F72"/>
    <mergeCell ref="B73:F73"/>
    <mergeCell ref="B74:F74"/>
    <mergeCell ref="B75:F75"/>
    <mergeCell ref="B76:F76"/>
    <mergeCell ref="B77:F77"/>
    <mergeCell ref="B78:F78"/>
    <mergeCell ref="B61:F61"/>
    <mergeCell ref="B62:F62"/>
    <mergeCell ref="B63:F63"/>
    <mergeCell ref="B64:F64"/>
    <mergeCell ref="B65:F65"/>
    <mergeCell ref="B66:F66"/>
    <mergeCell ref="B67:F67"/>
    <mergeCell ref="B68:F68"/>
    <mergeCell ref="B69:F69"/>
    <mergeCell ref="B52:F52"/>
    <mergeCell ref="B53:F53"/>
    <mergeCell ref="B54:F54"/>
    <mergeCell ref="B55:F55"/>
    <mergeCell ref="B56:F56"/>
    <mergeCell ref="B57:F57"/>
    <mergeCell ref="B58:F58"/>
    <mergeCell ref="B59:F59"/>
    <mergeCell ref="B60:F60"/>
    <mergeCell ref="B43:F43"/>
    <mergeCell ref="B44:F44"/>
    <mergeCell ref="B45:F45"/>
    <mergeCell ref="B46:F46"/>
    <mergeCell ref="B47:F47"/>
    <mergeCell ref="B48:F48"/>
    <mergeCell ref="B49:F49"/>
    <mergeCell ref="B50:F50"/>
    <mergeCell ref="B51:F51"/>
    <mergeCell ref="B34:F34"/>
    <mergeCell ref="B35:F35"/>
    <mergeCell ref="B36:F36"/>
    <mergeCell ref="B37:F37"/>
    <mergeCell ref="B38:F38"/>
    <mergeCell ref="B39:F39"/>
    <mergeCell ref="B40:F40"/>
    <mergeCell ref="B41:F41"/>
    <mergeCell ref="B42:F42"/>
    <mergeCell ref="B144:F144"/>
    <mergeCell ref="B145:F145"/>
    <mergeCell ref="B146:F146"/>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28:F28"/>
    <mergeCell ref="B135:F135"/>
    <mergeCell ref="B136:F136"/>
    <mergeCell ref="B137:F137"/>
    <mergeCell ref="B138:F138"/>
    <mergeCell ref="B139:F139"/>
    <mergeCell ref="B140:F140"/>
    <mergeCell ref="B141:F141"/>
    <mergeCell ref="B142:F142"/>
    <mergeCell ref="B143:F143"/>
    <mergeCell ref="B126:F126"/>
    <mergeCell ref="B127:F127"/>
    <mergeCell ref="B128:F128"/>
    <mergeCell ref="B129:F129"/>
    <mergeCell ref="B130:F130"/>
    <mergeCell ref="B131:F131"/>
    <mergeCell ref="B132:F132"/>
    <mergeCell ref="B133:F133"/>
    <mergeCell ref="B134:F134"/>
    <mergeCell ref="B121:F121"/>
    <mergeCell ref="B124:F124"/>
    <mergeCell ref="B125:F125"/>
    <mergeCell ref="B123:F123"/>
    <mergeCell ref="P146:AD146"/>
    <mergeCell ref="AE146:AL146"/>
    <mergeCell ref="AM146:BJ146"/>
    <mergeCell ref="P99:AD99"/>
    <mergeCell ref="AE99:AL99"/>
    <mergeCell ref="AM99:BJ99"/>
    <mergeCell ref="P141:AD141"/>
    <mergeCell ref="AE141:AL141"/>
    <mergeCell ref="AM141:BJ141"/>
    <mergeCell ref="P142:AD142"/>
    <mergeCell ref="AE142:AL142"/>
    <mergeCell ref="AM142:BJ142"/>
    <mergeCell ref="P143:AD143"/>
    <mergeCell ref="AE143:AL143"/>
    <mergeCell ref="P144:AD144"/>
    <mergeCell ref="AE144:AL144"/>
    <mergeCell ref="P145:AD145"/>
    <mergeCell ref="AE145:AL145"/>
    <mergeCell ref="AM145:BJ145"/>
    <mergeCell ref="P139:AD139"/>
    <mergeCell ref="AE139:AL139"/>
    <mergeCell ref="AM139:BJ139"/>
    <mergeCell ref="P140:AD140"/>
    <mergeCell ref="AE140:AL140"/>
    <mergeCell ref="AM140:BJ140"/>
    <mergeCell ref="P137:AD137"/>
    <mergeCell ref="AE137:AL137"/>
    <mergeCell ref="AM137:BJ137"/>
    <mergeCell ref="P138:AD138"/>
    <mergeCell ref="AE138:AL138"/>
    <mergeCell ref="AM138:BJ138"/>
    <mergeCell ref="AE129:AL129"/>
    <mergeCell ref="AM129:BJ129"/>
    <mergeCell ref="P130:AD130"/>
    <mergeCell ref="AE130:AL130"/>
    <mergeCell ref="AM130:BJ130"/>
    <mergeCell ref="P135:AD135"/>
    <mergeCell ref="AE135:AL135"/>
    <mergeCell ref="AM135:BJ135"/>
    <mergeCell ref="P136:AD136"/>
    <mergeCell ref="AE136:AL136"/>
    <mergeCell ref="AM136:BJ136"/>
    <mergeCell ref="P133:AD133"/>
    <mergeCell ref="AE133:AL133"/>
    <mergeCell ref="AM133:BJ133"/>
    <mergeCell ref="P134:AD134"/>
    <mergeCell ref="AE134:AL134"/>
    <mergeCell ref="AM134:BJ134"/>
    <mergeCell ref="B122:F122"/>
    <mergeCell ref="G122:N122"/>
    <mergeCell ref="B113:F113"/>
    <mergeCell ref="G113:N113"/>
    <mergeCell ref="P113:AD113"/>
    <mergeCell ref="AE113:AL113"/>
    <mergeCell ref="AM113:BJ113"/>
    <mergeCell ref="B114:F114"/>
    <mergeCell ref="G114:N114"/>
    <mergeCell ref="P114:AD114"/>
    <mergeCell ref="AE114:AL114"/>
    <mergeCell ref="AM114:BJ114"/>
    <mergeCell ref="P118:AD118"/>
    <mergeCell ref="AE118:AL118"/>
    <mergeCell ref="AM118:BJ118"/>
    <mergeCell ref="P119:AD119"/>
    <mergeCell ref="AE119:AL119"/>
    <mergeCell ref="AM119:BJ119"/>
    <mergeCell ref="P122:AD122"/>
    <mergeCell ref="AE122:AL122"/>
    <mergeCell ref="P120:AD120"/>
    <mergeCell ref="AE120:AL120"/>
    <mergeCell ref="AM120:BJ120"/>
    <mergeCell ref="P121:AD121"/>
    <mergeCell ref="AE112:AL112"/>
    <mergeCell ref="AM112:BJ112"/>
    <mergeCell ref="B109:F109"/>
    <mergeCell ref="G109:N109"/>
    <mergeCell ref="P109:AD109"/>
    <mergeCell ref="AE109:AL109"/>
    <mergeCell ref="AM109:BJ109"/>
    <mergeCell ref="B110:F110"/>
    <mergeCell ref="G110:N110"/>
    <mergeCell ref="P110:AD110"/>
    <mergeCell ref="AE110:AL110"/>
    <mergeCell ref="AM110:BJ110"/>
    <mergeCell ref="AE152:AL152"/>
    <mergeCell ref="AM152:BJ152"/>
    <mergeCell ref="B153:F153"/>
    <mergeCell ref="AE154:AL154"/>
    <mergeCell ref="AE151:AL151"/>
    <mergeCell ref="B151:F151"/>
    <mergeCell ref="P107:AD107"/>
    <mergeCell ref="AE107:AL107"/>
    <mergeCell ref="AM107:BJ107"/>
    <mergeCell ref="B108:F108"/>
    <mergeCell ref="G108:N108"/>
    <mergeCell ref="P108:AD108"/>
    <mergeCell ref="AE108:AL108"/>
    <mergeCell ref="AM108:BJ108"/>
    <mergeCell ref="AE149:AL149"/>
    <mergeCell ref="AM149:BJ149"/>
    <mergeCell ref="AE147:AL147"/>
    <mergeCell ref="B149:F149"/>
    <mergeCell ref="P111:AD111"/>
    <mergeCell ref="AE111:AL111"/>
    <mergeCell ref="AM111:BJ111"/>
    <mergeCell ref="B112:F112"/>
    <mergeCell ref="G112:N112"/>
    <mergeCell ref="P112:AD112"/>
    <mergeCell ref="B150:F150"/>
    <mergeCell ref="G150:N150"/>
    <mergeCell ref="B147:F147"/>
    <mergeCell ref="G147:N147"/>
    <mergeCell ref="P147:AD147"/>
    <mergeCell ref="P150:AD150"/>
    <mergeCell ref="B183:F183"/>
    <mergeCell ref="G183:N183"/>
    <mergeCell ref="P183:AD183"/>
    <mergeCell ref="G154:N154"/>
    <mergeCell ref="P154:AD154"/>
    <mergeCell ref="B152:F152"/>
    <mergeCell ref="G152:N152"/>
    <mergeCell ref="P152:AD152"/>
    <mergeCell ref="G153:N153"/>
    <mergeCell ref="P153:AD153"/>
    <mergeCell ref="B157:F157"/>
    <mergeCell ref="G157:N157"/>
    <mergeCell ref="P157:AD157"/>
    <mergeCell ref="B160:F160"/>
    <mergeCell ref="G160:N160"/>
    <mergeCell ref="P160:AD160"/>
    <mergeCell ref="B163:F163"/>
    <mergeCell ref="G151:N151"/>
    <mergeCell ref="B187:F187"/>
    <mergeCell ref="G187:N187"/>
    <mergeCell ref="P187:AD187"/>
    <mergeCell ref="AE187:AL187"/>
    <mergeCell ref="AM187:BJ187"/>
    <mergeCell ref="AE183:AL183"/>
    <mergeCell ref="AM184:BJ184"/>
    <mergeCell ref="B186:F186"/>
    <mergeCell ref="G186:N186"/>
    <mergeCell ref="P186:AD186"/>
    <mergeCell ref="AE186:AL186"/>
    <mergeCell ref="AM186:BJ186"/>
    <mergeCell ref="B185:F185"/>
    <mergeCell ref="G185:N185"/>
    <mergeCell ref="P185:AD185"/>
    <mergeCell ref="AE185:AL185"/>
    <mergeCell ref="B184:F184"/>
    <mergeCell ref="G184:N184"/>
    <mergeCell ref="P184:AD184"/>
    <mergeCell ref="AE184:AL184"/>
    <mergeCell ref="AM185:BJ185"/>
    <mergeCell ref="AS1:AX1"/>
    <mergeCell ref="BE1:BJ1"/>
    <mergeCell ref="AS2:AX2"/>
    <mergeCell ref="AY2:BD2"/>
    <mergeCell ref="BE2:BJ2"/>
    <mergeCell ref="AY1:BD1"/>
    <mergeCell ref="AM183:BJ183"/>
    <mergeCell ref="AM154:BJ154"/>
    <mergeCell ref="AM150:BJ150"/>
    <mergeCell ref="AM101:BJ101"/>
    <mergeCell ref="AM4:BJ5"/>
    <mergeCell ref="AM147:BJ147"/>
    <mergeCell ref="AM106:BJ106"/>
    <mergeCell ref="AM143:BJ143"/>
    <mergeCell ref="AM144:BJ144"/>
    <mergeCell ref="AM9:BJ9"/>
    <mergeCell ref="AM151:BJ151"/>
    <mergeCell ref="AM100:BJ100"/>
    <mergeCell ref="AM70:BJ70"/>
    <mergeCell ref="AM122:BJ122"/>
    <mergeCell ref="AM22:BJ22"/>
    <mergeCell ref="AM12:BJ12"/>
    <mergeCell ref="AM34:BJ34"/>
    <mergeCell ref="AM121:BJ121"/>
    <mergeCell ref="B1:N2"/>
    <mergeCell ref="O1:AD1"/>
    <mergeCell ref="B105:F105"/>
    <mergeCell ref="G105:N105"/>
    <mergeCell ref="P105:AD105"/>
    <mergeCell ref="O2:AD2"/>
    <mergeCell ref="AE4:AL5"/>
    <mergeCell ref="G101:N101"/>
    <mergeCell ref="G4:N5"/>
    <mergeCell ref="P4:AD5"/>
    <mergeCell ref="P101:AD101"/>
    <mergeCell ref="B4:F5"/>
    <mergeCell ref="O4:O5"/>
    <mergeCell ref="B101:F101"/>
    <mergeCell ref="AE101:AL101"/>
    <mergeCell ref="B103:F103"/>
    <mergeCell ref="B102:F102"/>
    <mergeCell ref="B104:F104"/>
    <mergeCell ref="G104:N104"/>
    <mergeCell ref="G103:N103"/>
    <mergeCell ref="G102:N102"/>
    <mergeCell ref="P102:AD102"/>
    <mergeCell ref="AE1:AR1"/>
    <mergeCell ref="AE2:AR2"/>
    <mergeCell ref="P103:AD103"/>
    <mergeCell ref="P104:AD104"/>
    <mergeCell ref="AE105:AL105"/>
    <mergeCell ref="AM105:BJ105"/>
    <mergeCell ref="AE102:AL102"/>
    <mergeCell ref="AM102:BJ102"/>
    <mergeCell ref="AE103:AL103"/>
    <mergeCell ref="AM103:BJ103"/>
    <mergeCell ref="AE104:AL104"/>
    <mergeCell ref="P100:AD100"/>
    <mergeCell ref="AE100:AL100"/>
    <mergeCell ref="P10:AD10"/>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P24:AD24"/>
    <mergeCell ref="AE24:AL24"/>
    <mergeCell ref="AM24:BJ24"/>
    <mergeCell ref="P25:AD25"/>
    <mergeCell ref="B29:F29"/>
    <mergeCell ref="B30:F30"/>
    <mergeCell ref="B31:F31"/>
    <mergeCell ref="B32:F32"/>
    <mergeCell ref="B33:F33"/>
    <mergeCell ref="P106:AD106"/>
    <mergeCell ref="AE106:AL106"/>
    <mergeCell ref="AM104:BJ104"/>
    <mergeCell ref="B106:F106"/>
    <mergeCell ref="G106:N106"/>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115:AD115"/>
    <mergeCell ref="AE115:AL115"/>
    <mergeCell ref="AM115:BJ115"/>
    <mergeCell ref="P125:AD125"/>
    <mergeCell ref="AE125:AL125"/>
    <mergeCell ref="AM125:BJ125"/>
    <mergeCell ref="P116:AD116"/>
    <mergeCell ref="AE116:AL116"/>
    <mergeCell ref="AM116:BJ116"/>
    <mergeCell ref="P117:AD117"/>
    <mergeCell ref="AE117:AL117"/>
    <mergeCell ref="AM117:BJ117"/>
    <mergeCell ref="P123:AD123"/>
    <mergeCell ref="AE123:AL123"/>
    <mergeCell ref="AM123:BJ123"/>
    <mergeCell ref="G149:N149"/>
    <mergeCell ref="P149:AD149"/>
    <mergeCell ref="AE150:AL150"/>
    <mergeCell ref="P151:AD151"/>
    <mergeCell ref="AE121:AL121"/>
    <mergeCell ref="P128:AD128"/>
    <mergeCell ref="AE128:AL128"/>
    <mergeCell ref="AM128:BJ128"/>
    <mergeCell ref="P124:AD124"/>
    <mergeCell ref="AE124:AL124"/>
    <mergeCell ref="AM124:BJ124"/>
    <mergeCell ref="P126:AD126"/>
    <mergeCell ref="AE126:AL126"/>
    <mergeCell ref="AM126:BJ126"/>
    <mergeCell ref="P127:AD127"/>
    <mergeCell ref="AE127:AL127"/>
    <mergeCell ref="AM127:BJ127"/>
    <mergeCell ref="P131:AD131"/>
    <mergeCell ref="AE131:AL131"/>
    <mergeCell ref="AM131:BJ131"/>
    <mergeCell ref="P132:AD132"/>
    <mergeCell ref="AE132:AL132"/>
    <mergeCell ref="AM132:BJ132"/>
    <mergeCell ref="P129:AD129"/>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3:AD13"/>
    <mergeCell ref="AE13:AL13"/>
    <mergeCell ref="AM13:BJ13"/>
    <mergeCell ref="P15:AD15"/>
    <mergeCell ref="AE15:AL15"/>
    <mergeCell ref="AM15:BJ15"/>
    <mergeCell ref="AE25:AL25"/>
    <mergeCell ref="AM25:BJ25"/>
    <mergeCell ref="P23:AD23"/>
    <mergeCell ref="AE23:AL23"/>
    <mergeCell ref="AM23:BJ23"/>
    <mergeCell ref="P26:AD26"/>
    <mergeCell ref="AE26:AL26"/>
    <mergeCell ref="AM26:BJ26"/>
    <mergeCell ref="P27:AD27"/>
    <mergeCell ref="AE27:AL27"/>
    <mergeCell ref="AM27:BJ27"/>
    <mergeCell ref="P28:AD28"/>
    <mergeCell ref="AE28:AL28"/>
    <mergeCell ref="AM28:BJ28"/>
    <mergeCell ref="P29:AD29"/>
    <mergeCell ref="AE29:AL29"/>
    <mergeCell ref="AM29:BJ29"/>
    <mergeCell ref="P30:AD30"/>
    <mergeCell ref="AE30:AL30"/>
    <mergeCell ref="AM30:BJ30"/>
    <mergeCell ref="P35:AD35"/>
    <mergeCell ref="AE35:AL35"/>
    <mergeCell ref="AM35:BJ35"/>
    <mergeCell ref="P56:AD56"/>
    <mergeCell ref="AE56:AL56"/>
    <mergeCell ref="AM56:BJ56"/>
    <mergeCell ref="P57:AD57"/>
    <mergeCell ref="AE57:AL57"/>
    <mergeCell ref="AM57:BJ57"/>
    <mergeCell ref="P55:AD55"/>
    <mergeCell ref="AE55:AL55"/>
    <mergeCell ref="AM55:BJ55"/>
    <mergeCell ref="P52:AD52"/>
    <mergeCell ref="AE52:AL52"/>
    <mergeCell ref="AM52:BJ52"/>
    <mergeCell ref="P53:AD53"/>
    <mergeCell ref="AE53:AL53"/>
    <mergeCell ref="AM53:BJ53"/>
    <mergeCell ref="P54:AD54"/>
    <mergeCell ref="AE54:AL54"/>
    <mergeCell ref="AM54:BJ54"/>
    <mergeCell ref="P49:AD49"/>
    <mergeCell ref="AE49:AL49"/>
    <mergeCell ref="AM49:BJ49"/>
    <mergeCell ref="P58:AD58"/>
    <mergeCell ref="AE58:AL58"/>
    <mergeCell ref="AM58:BJ58"/>
    <mergeCell ref="P36:AD36"/>
    <mergeCell ref="AE36:AL36"/>
    <mergeCell ref="AM36:BJ36"/>
    <mergeCell ref="P60:AD60"/>
    <mergeCell ref="AE60:AL60"/>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P46:AD46"/>
    <mergeCell ref="P61:AD61"/>
    <mergeCell ref="AE61:AL61"/>
    <mergeCell ref="AM61:BJ61"/>
    <mergeCell ref="P37:AD37"/>
    <mergeCell ref="AE37:AL37"/>
    <mergeCell ref="AM37:BJ37"/>
    <mergeCell ref="P38:AD38"/>
    <mergeCell ref="AE38:AL38"/>
    <mergeCell ref="AM38:BJ38"/>
    <mergeCell ref="P39:AD39"/>
    <mergeCell ref="AE39:AL39"/>
    <mergeCell ref="AM39:BJ39"/>
    <mergeCell ref="P40:AD40"/>
    <mergeCell ref="AE40:AL40"/>
    <mergeCell ref="AM40:BJ40"/>
    <mergeCell ref="P41:AD41"/>
    <mergeCell ref="AE41:AL41"/>
    <mergeCell ref="AM41:BJ41"/>
    <mergeCell ref="P42:AD42"/>
    <mergeCell ref="AE42:AL42"/>
    <mergeCell ref="AM42:BJ42"/>
    <mergeCell ref="AE46:AL46"/>
    <mergeCell ref="AM46:BJ46"/>
    <mergeCell ref="P47:AD47"/>
    <mergeCell ref="P65:AD65"/>
    <mergeCell ref="AE65:AL65"/>
    <mergeCell ref="AM65:BJ65"/>
    <mergeCell ref="P66:AD66"/>
    <mergeCell ref="AE66:AL66"/>
    <mergeCell ref="AM66:BJ66"/>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3:AD73"/>
    <mergeCell ref="AE73:AL73"/>
    <mergeCell ref="AM73:BJ73"/>
    <mergeCell ref="P74:AD74"/>
    <mergeCell ref="AE74:AL74"/>
    <mergeCell ref="AM74:BJ74"/>
    <mergeCell ref="P71:AD71"/>
    <mergeCell ref="AE71:AL71"/>
    <mergeCell ref="AM71:BJ71"/>
    <mergeCell ref="P72:AD72"/>
    <mergeCell ref="AE72:AL72"/>
    <mergeCell ref="AM72:BJ72"/>
    <mergeCell ref="P69:AD69"/>
    <mergeCell ref="AE69:AL69"/>
    <mergeCell ref="AM69:BJ69"/>
    <mergeCell ref="P70:AD70"/>
    <mergeCell ref="AE70:AL70"/>
    <mergeCell ref="P68:AD68"/>
    <mergeCell ref="P85:AD85"/>
    <mergeCell ref="AE85:AL85"/>
    <mergeCell ref="AM85:BJ85"/>
    <mergeCell ref="P86:AD86"/>
    <mergeCell ref="AE86:AL86"/>
    <mergeCell ref="AM86:BJ86"/>
    <mergeCell ref="P75:AD75"/>
    <mergeCell ref="AE75:AL75"/>
    <mergeCell ref="AM75:BJ75"/>
    <mergeCell ref="P76:AD76"/>
    <mergeCell ref="AE76:AL76"/>
    <mergeCell ref="AM76:BJ76"/>
    <mergeCell ref="P77:AD77"/>
    <mergeCell ref="AE77:AL77"/>
    <mergeCell ref="AM77:BJ77"/>
    <mergeCell ref="P98:AD98"/>
    <mergeCell ref="AE98:AL98"/>
    <mergeCell ref="AM98:BJ98"/>
    <mergeCell ref="P79:AD79"/>
    <mergeCell ref="AE79:AL79"/>
    <mergeCell ref="AM79:BJ79"/>
    <mergeCell ref="P80:AD80"/>
    <mergeCell ref="AE80:AL80"/>
    <mergeCell ref="AM80:BJ80"/>
    <mergeCell ref="P81:AD81"/>
    <mergeCell ref="AE81:AL81"/>
    <mergeCell ref="AM81:BJ81"/>
    <mergeCell ref="P82:AD82"/>
    <mergeCell ref="AE82:AL82"/>
    <mergeCell ref="AM82:BJ82"/>
    <mergeCell ref="P83:AD83"/>
    <mergeCell ref="AE83:AL83"/>
    <mergeCell ref="AM83:BJ83"/>
    <mergeCell ref="P89:AD89"/>
    <mergeCell ref="AE89:AL89"/>
    <mergeCell ref="AM89:BJ89"/>
    <mergeCell ref="P92:AD92"/>
    <mergeCell ref="AE92:AL92"/>
    <mergeCell ref="AM92:BJ92"/>
    <mergeCell ref="P97:AD97"/>
    <mergeCell ref="AE97:AL97"/>
    <mergeCell ref="AM97:BJ97"/>
    <mergeCell ref="P91:AD91"/>
    <mergeCell ref="AE91:AL91"/>
    <mergeCell ref="AM91:BJ91"/>
    <mergeCell ref="P94:AD94"/>
    <mergeCell ref="AE94:AL94"/>
    <mergeCell ref="AM94:BJ94"/>
    <mergeCell ref="P95:AD95"/>
    <mergeCell ref="AE95:AL95"/>
    <mergeCell ref="AM95:BJ95"/>
    <mergeCell ref="P96:AD96"/>
    <mergeCell ref="AE96:AL96"/>
    <mergeCell ref="AM96:BJ96"/>
    <mergeCell ref="P50:AD50"/>
    <mergeCell ref="AE50:AL50"/>
    <mergeCell ref="AM50:BJ50"/>
    <mergeCell ref="P51:AD51"/>
    <mergeCell ref="AE51:AL51"/>
    <mergeCell ref="AM51:BJ51"/>
    <mergeCell ref="P93:AD93"/>
    <mergeCell ref="AE93:AL93"/>
    <mergeCell ref="AM93:BJ93"/>
    <mergeCell ref="P90:AD90"/>
    <mergeCell ref="AE90:AL90"/>
    <mergeCell ref="AM90:BJ90"/>
    <mergeCell ref="P78:AD78"/>
    <mergeCell ref="AE78:AL78"/>
    <mergeCell ref="AM78:BJ78"/>
    <mergeCell ref="P87:AD87"/>
    <mergeCell ref="AE87:AL87"/>
    <mergeCell ref="AM87:BJ87"/>
    <mergeCell ref="P88:AD88"/>
    <mergeCell ref="AE88:AL88"/>
    <mergeCell ref="AM88:BJ88"/>
    <mergeCell ref="P84:AD84"/>
    <mergeCell ref="AE84:AL84"/>
    <mergeCell ref="AM84:BJ84"/>
  </mergeCells>
  <phoneticPr fontId="8"/>
  <conditionalFormatting sqref="G185:N185 B104:F106 B102:N103 G7:N7 G104:N146 G21:N100 G9:N19">
    <cfRule type="expression" dxfId="37" priority="136">
      <formula>B6=B7</formula>
    </cfRule>
  </conditionalFormatting>
  <conditionalFormatting sqref="O2:AD2">
    <cfRule type="expression" dxfId="36" priority="130">
      <formula>$O$2=""</formula>
    </cfRule>
  </conditionalFormatting>
  <conditionalFormatting sqref="B154:N154">
    <cfRule type="expression" dxfId="35" priority="91">
      <formula>#REF!=B154</formula>
    </cfRule>
  </conditionalFormatting>
  <conditionalFormatting sqref="G184:N184">
    <cfRule type="expression" dxfId="34" priority="96">
      <formula>#REF!=G184</formula>
    </cfRule>
  </conditionalFormatting>
  <conditionalFormatting sqref="G150:N150">
    <cfRule type="expression" dxfId="33" priority="138">
      <formula>#REF!=G150</formula>
    </cfRule>
  </conditionalFormatting>
  <conditionalFormatting sqref="B150:F150">
    <cfRule type="expression" dxfId="32" priority="93">
      <formula>#REF!=B150</formula>
    </cfRule>
  </conditionalFormatting>
  <conditionalFormatting sqref="B185:F185">
    <cfRule type="expression" dxfId="31" priority="85">
      <formula>B184=B185</formula>
    </cfRule>
  </conditionalFormatting>
  <conditionalFormatting sqref="B184:F184">
    <cfRule type="expression" dxfId="30" priority="86">
      <formula>#REF!=B184</formula>
    </cfRule>
  </conditionalFormatting>
  <conditionalFormatting sqref="B187:N187 B113:F146 B22:F100 B10:F19">
    <cfRule type="expression" dxfId="29" priority="139">
      <formula>B8=B10</formula>
    </cfRule>
  </conditionalFormatting>
  <conditionalFormatting sqref="B186:F186">
    <cfRule type="expression" dxfId="28" priority="81">
      <formula>B185=B186</formula>
    </cfRule>
  </conditionalFormatting>
  <conditionalFormatting sqref="G186:N186">
    <cfRule type="expression" dxfId="27" priority="82">
      <formula>G185=G186</formula>
    </cfRule>
  </conditionalFormatting>
  <conditionalFormatting sqref="G151:N151">
    <cfRule type="expression" dxfId="26" priority="79">
      <formula>G150=G151</formula>
    </cfRule>
  </conditionalFormatting>
  <conditionalFormatting sqref="B151:F151">
    <cfRule type="expression" dxfId="25" priority="78">
      <formula>B150=B151</formula>
    </cfRule>
  </conditionalFormatting>
  <conditionalFormatting sqref="G149:N149">
    <cfRule type="expression" dxfId="24" priority="64">
      <formula>G147=G149</formula>
    </cfRule>
  </conditionalFormatting>
  <conditionalFormatting sqref="B149:F149">
    <cfRule type="expression" dxfId="23" priority="63">
      <formula>B147=B149</formula>
    </cfRule>
  </conditionalFormatting>
  <conditionalFormatting sqref="B147:N147">
    <cfRule type="expression" dxfId="22" priority="140">
      <formula>#REF!=B147</formula>
    </cfRule>
  </conditionalFormatting>
  <conditionalFormatting sqref="B107:F107">
    <cfRule type="expression" dxfId="21" priority="56">
      <formula>B105=B107</formula>
    </cfRule>
  </conditionalFormatting>
  <conditionalFormatting sqref="B108:F112">
    <cfRule type="expression" dxfId="20" priority="55">
      <formula>B106=B108</formula>
    </cfRule>
  </conditionalFormatting>
  <conditionalFormatting sqref="B7:F7">
    <cfRule type="expression" dxfId="19" priority="20">
      <formula>B100=B7</formula>
    </cfRule>
  </conditionalFormatting>
  <conditionalFormatting sqref="G152:N152">
    <cfRule type="expression" dxfId="18" priority="18">
      <formula>G151=G152</formula>
    </cfRule>
  </conditionalFormatting>
  <conditionalFormatting sqref="B152:F152">
    <cfRule type="expression" dxfId="17" priority="17">
      <formula>B151=B152</formula>
    </cfRule>
  </conditionalFormatting>
  <conditionalFormatting sqref="G153:N153">
    <cfRule type="expression" dxfId="16" priority="16">
      <formula>G152=G153</formula>
    </cfRule>
  </conditionalFormatting>
  <conditionalFormatting sqref="B153:F153">
    <cfRule type="expression" dxfId="15" priority="15">
      <formula>B152=B153</formula>
    </cfRule>
  </conditionalFormatting>
  <conditionalFormatting sqref="B156:F183">
    <cfRule type="expression" dxfId="14" priority="10">
      <formula>B155=B156</formula>
    </cfRule>
  </conditionalFormatting>
  <conditionalFormatting sqref="G155:N155">
    <cfRule type="expression" dxfId="13" priority="13">
      <formula>G154=G155</formula>
    </cfRule>
  </conditionalFormatting>
  <conditionalFormatting sqref="B155:F155">
    <cfRule type="expression" dxfId="12" priority="12">
      <formula>B154=B155</formula>
    </cfRule>
  </conditionalFormatting>
  <conditionalFormatting sqref="G156:N183">
    <cfRule type="expression" dxfId="11" priority="11">
      <formula>G155=G156</formula>
    </cfRule>
  </conditionalFormatting>
  <conditionalFormatting sqref="B6:N6">
    <cfRule type="expression" dxfId="10" priority="9">
      <formula>B3=B6</formula>
    </cfRule>
  </conditionalFormatting>
  <conditionalFormatting sqref="G101:N101">
    <cfRule type="expression" dxfId="9" priority="8">
      <formula>G7=G101</formula>
    </cfRule>
  </conditionalFormatting>
  <conditionalFormatting sqref="B101:F101">
    <cfRule type="expression" dxfId="8" priority="5">
      <formula>B7=B101</formula>
    </cfRule>
  </conditionalFormatting>
  <conditionalFormatting sqref="B20:F21">
    <cfRule type="expression" dxfId="7" priority="143">
      <formula>B18=B20</formula>
    </cfRule>
  </conditionalFormatting>
  <conditionalFormatting sqref="G20:N20">
    <cfRule type="expression" dxfId="6" priority="147">
      <formula>G19=G20</formula>
    </cfRule>
  </conditionalFormatting>
  <conditionalFormatting sqref="B8:F9">
    <cfRule type="expression" dxfId="5" priority="148">
      <formula>B145=B8</formula>
    </cfRule>
  </conditionalFormatting>
  <conditionalFormatting sqref="G8:N8">
    <cfRule type="expression" dxfId="4" priority="149">
      <formula>G146=G8</formula>
    </cfRule>
  </conditionalFormatting>
  <conditionalFormatting sqref="G148:N148">
    <cfRule type="expression" dxfId="1" priority="2">
      <formula>G147=G148</formula>
    </cfRule>
  </conditionalFormatting>
  <conditionalFormatting sqref="B148:F148">
    <cfRule type="expression" dxfId="0" priority="1">
      <formula>B147=B148</formula>
    </cfRule>
  </conditionalFormatting>
  <hyperlinks>
    <hyperlink ref="P101" location="処理対象患者基本データ_DPC!A1" display="処理対象患者基本データ_DPC" xr:uid="{00000000-0004-0000-0500-000000000000}"/>
    <hyperlink ref="P101" location="バックアップ_DPC調査データ_Dファイル!A1" display="バックアップ_DPC調査データ_Dファイル" xr:uid="{00000000-0004-0000-0500-000001000000}"/>
    <hyperlink ref="P102" location="処理対象患者基本データ_DPC!A1" display="処理対象患者基本データ_DPC" xr:uid="{00000000-0004-0000-0500-000002000000}"/>
    <hyperlink ref="P102" location="バックアップ_DPC調査データ_入院EF統合ファイル!A1" display="バックアップ_DPC調査データ_入院EF統合ファイル" xr:uid="{00000000-0004-0000-0500-000003000000}"/>
    <hyperlink ref="P103" location="バックアップ_DPC調査データ_外来EF統合ファイル!A1" display="バックアップ_DPC調査データ_外来EF統合ファイル" xr:uid="{00000000-0004-0000-0500-000004000000}"/>
    <hyperlink ref="P104" location="バックアップ_DPC調査データ_Hファイル!A1" display="バックアップ_DPC調査データ_Hファイル" xr:uid="{00000000-0004-0000-0500-000005000000}"/>
    <hyperlink ref="P105:AD105" location="バックアップ_DPC調査データ_様式1!A1" display="バックアップ_DPC調査データ_様式1" xr:uid="{00000000-0004-0000-0500-000006000000}"/>
    <hyperlink ref="P106:AD106" location="バックアップ_DPC調査データ_様式1_診断情報_併存症!A1" display="バックアップ_DPC調査データ_様式1_診断情報_併存症" xr:uid="{00000000-0004-0000-0500-000007000000}"/>
    <hyperlink ref="P147:AD147" location="組入れ_対象施設!A1" display="組入れ_対象施設" xr:uid="{00000000-0004-0000-0500-000008000000}"/>
    <hyperlink ref="P150:AD150" location="患者マスタ!A1" display="患者マスタ" xr:uid="{00000000-0004-0000-0500-000009000000}"/>
    <hyperlink ref="P184:AD184" location="ワーク_疾患データ!A1" display="ワーク_疾患データ" xr:uid="{00000000-0004-0000-0500-00000A000000}"/>
    <hyperlink ref="P185:AD185" location="セレクト_疾患データ_大区分!A1" display="セレクト_疾患データ_大区分" xr:uid="{00000000-0004-0000-0500-00000B000000}"/>
    <hyperlink ref="P186:AD186" location="セレクト_疾患データ_小区分!A1" display="セレクト_疾患データ_小区分" xr:uid="{00000000-0004-0000-0500-00000C000000}"/>
    <hyperlink ref="P151:AD151" location="疾患マスタ!A1" display="疾患マスタ" xr:uid="{00000000-0004-0000-0500-00000D000000}"/>
    <hyperlink ref="P149:AD149" location="組入れ_対象患者!A1" display="組入れ_対象患者" xr:uid="{00000000-0004-0000-0500-00000E000000}"/>
    <hyperlink ref="P107:AD107" location="バックアップ_DPC調査データ_様式1_診断情報_続発症!A1" display="バックアップ_DPC調査データ_様式1_診断情報_続発症" xr:uid="{00000000-0004-0000-0500-00000F000000}"/>
    <hyperlink ref="P108:AD108" location="バックアップ_医科レセプト_医療機関情報レコード!A1" display="バックアップ_医科レセプト_医療機関情報レコード" xr:uid="{00000000-0004-0000-0500-000010000000}"/>
    <hyperlink ref="P109:AD109" location="バックアップ_医科レセプト_レセプト共通レコード!A1" display="バックアップ_医科レセプト_レセプト共通レコード" xr:uid="{00000000-0004-0000-0500-000011000000}"/>
    <hyperlink ref="P110:AD110" location="バックアップ_医科レセプト_傷病名レコード!A1" display="バックアップ_医科レセプト_傷病名レコード" xr:uid="{00000000-0004-0000-0500-000012000000}"/>
    <hyperlink ref="P111:AD111" location="バックアップ_医科レセプト_診療行為レコード!A1" display="バックアップ_医科レセプト_診療行為レコード" xr:uid="{00000000-0004-0000-0500-000013000000}"/>
    <hyperlink ref="P112:AD112" location="バックアップ_医科レセプト_診療行為レコード_算定日情報!A1" display="バックアップ_医科レセプト_診療行為レコード_算定日情報" xr:uid="{00000000-0004-0000-0500-000014000000}"/>
    <hyperlink ref="P113:AD113" location="バックアップ_医科レセプト_医薬品レコード!A1" display="バックアップ_医科レセプト_医薬品レコード" xr:uid="{00000000-0004-0000-0500-000015000000}"/>
    <hyperlink ref="P114:AD114" location="バックアップ_医科レセプト_医薬品レコード_算定日情報!A1" display="バックアップ_医科レセプト_医薬品レコード_算定日情報" xr:uid="{00000000-0004-0000-0500-000016000000}"/>
    <hyperlink ref="P115:AD115" location="バックアップ_医科レセプト_臓器提供者レセプト情報レコード!A1" display="バックアップ_医科レセプト_臓器提供者レセプト情報レコード" xr:uid="{00000000-0004-0000-0500-000017000000}"/>
    <hyperlink ref="P116:AD116" location="バックアップ_DPCレセプト_医療機関情報レコード!A1" display="バックアップ_DPCレセプト_医療機関情報レコード" xr:uid="{00000000-0004-0000-0500-000018000000}"/>
    <hyperlink ref="P117:AD117" location="バックアップ_DPCレセプト_レセプト共通レコード!A1" display="バックアップ_DPCレセプト_レセプト共通レコード" xr:uid="{00000000-0004-0000-0500-000019000000}"/>
    <hyperlink ref="P118:AD118" location="バックアップ_DPCレセプト_診断群分類レコード!A1" display="バックアップ_DPCレセプト_診断群分類レコード" xr:uid="{00000000-0004-0000-0500-00001A000000}"/>
    <hyperlink ref="P119:AD119" location="バックアップ_DPCレセプト_傷病レコード!A1" display="バックアップ_DPCレセプト_傷病レコード" xr:uid="{00000000-0004-0000-0500-00001B000000}"/>
    <hyperlink ref="P120:AD120" location="バックアップ_DPCレセプト_傷病名レコード!A1" display="バックアップ_DPCレセプト_傷病名レコード" xr:uid="{00000000-0004-0000-0500-00001C000000}"/>
    <hyperlink ref="P121:AD121" location="バックアップ_DPCレセプト_診療行為レコード!A1" display="バックアップ_DPCレセプト_診療行為レコード" xr:uid="{00000000-0004-0000-0500-00001D000000}"/>
    <hyperlink ref="P122:AD122" location="バックアップ_DPCレセプト_診療行為レコード_算定日情報!A1" display="バックアップ_DPCレセプト_診療行為レコード_算定日情報" xr:uid="{00000000-0004-0000-0500-00001E000000}"/>
    <hyperlink ref="P123:AD123" location="バックアップ_DPCレセプト_医薬品レコード!A1" display="バックアップ_DPCレセプト_医薬品レコード" xr:uid="{00000000-0004-0000-0500-00001F000000}"/>
    <hyperlink ref="P124:AD124" location="バックアップ_DPCレセプト_医薬品レコード_算定日情報!A1" display="バックアップ_DPCレセプト_医薬品レコード_算定日情報" xr:uid="{00000000-0004-0000-0500-000020000000}"/>
    <hyperlink ref="P125:AD125" location="バックアップ_DPCレセプト_臓器提供者レセプト情報レコード!A1" display="バックアップ_DPCレセプト_臓器提供者レセプト情報レコード" xr:uid="{00000000-0004-0000-0500-000021000000}"/>
    <hyperlink ref="P126:AD126" location="バックアップ_患者情報モジュール_患者情報!A1" display="バックアップ_患者情報モジュール_患者情報" xr:uid="{00000000-0004-0000-0500-000022000000}"/>
    <hyperlink ref="P127:AD127" location="バックアップ_診断履歴情報モジュール_診断履歴情報レコード!A1" display="バックアップ_診断履歴情報モジュール_診断履歴情報レコード" xr:uid="{00000000-0004-0000-0500-000023000000}"/>
    <hyperlink ref="P128:AD128" location="バックアップ_診断履歴情報モジュール_診断病名レコード!A1" display="バックアップ_診断履歴情報モジュール_診断病名レコード" xr:uid="{00000000-0004-0000-0500-000024000000}"/>
    <hyperlink ref="P129:AD129" location="バックアップ_診断履歴情報モジュール_診断分類レコード!A1" display="バックアップ_診断履歴情報モジュール_診断分類レコード" xr:uid="{00000000-0004-0000-0500-000025000000}"/>
    <hyperlink ref="P130:AD130" location="バックアップ_経過記録情報モジュール_経過記録情報レコード!A1" display="バックアップ_経過記録情報モジュール_経過記録情報レコード" xr:uid="{00000000-0004-0000-0500-000026000000}"/>
    <hyperlink ref="P131:AD131" location="バックアップ_経過記録情報モジュール_プロブレムレコード!A1" display="バックアップ_経過記録情報モジュール_プロブレムレコード" xr:uid="{00000000-0004-0000-0500-000027000000}"/>
    <hyperlink ref="P132:AD132" location="バックアップ_経過記録情報モジュール_身体所見レコード!A1" display="バックアップ_経過記録情報モジュール_身体所見レコード" xr:uid="{00000000-0004-0000-0500-000028000000}"/>
    <hyperlink ref="P133:AD133" location="バックアップ_経過記録情報モジュール_アセスメントレコード!A1" display="バックアップ_経過記録情報モジュール_アセスメントレコード" xr:uid="{00000000-0004-0000-0500-000029000000}"/>
    <hyperlink ref="P134:AD134" location="バックアップ_経過記録情報モジュール_外部参照レコード!A1" display="バックアップ_経過記録情報モジュール_外部参照レコード" xr:uid="{00000000-0004-0000-0500-00002A000000}"/>
    <hyperlink ref="P135:AD135" location="バックアップ_臨床サマリーモジュール_臨床サマリー情報レコード!A1" display="バックアップ_臨床サマリーモジュール_臨床サマリー情報レコード" xr:uid="{00000000-0004-0000-0500-00002B000000}"/>
    <hyperlink ref="P136:AD136" location="バックアップ_臨床サマリーモジュール_外来受診レコード!A1" display="バックアップ_臨床サマリーモジュール_外来受診レコード" xr:uid="{00000000-0004-0000-0500-00002C000000}"/>
    <hyperlink ref="P137:AD137" location="バックアップ_臨床サマリーモジュール_入院レコード!A1" display="バックアップ_臨床サマリーモジュール_入院レコード" xr:uid="{00000000-0004-0000-0500-00002D000000}"/>
    <hyperlink ref="P138:AD138" location="バックアップ_臨床サマリーモジュール_経過記録レコード!A1" display="バックアップ_臨床サマリーモジュール_経過記録レコード" xr:uid="{00000000-0004-0000-0500-00002E000000}"/>
    <hyperlink ref="P139:AD139" location="バックアップ_臨床サマリーモジュール_検査結果レコード!A1" display="バックアップ_臨床サマリーモジュール_検査結果レコード" xr:uid="{00000000-0004-0000-0500-00002F000000}"/>
    <hyperlink ref="P140:AD140" location="バックアップ_検歴情報モジュール_検歴情報!A1" display="バックアップ_検歴情報モジュール_検歴情報" xr:uid="{00000000-0004-0000-0500-000030000000}"/>
    <hyperlink ref="P141:AD141" location="バックアップ_検歴情報モジュール_検歴検体材料!A1" display="バックアップ_検歴情報モジュール_検歴検体材料" xr:uid="{00000000-0004-0000-0500-000031000000}"/>
    <hyperlink ref="P142:AD142" location="バックアップ_検歴情報モジュール_検歴項目情報!A1" display="バックアップ_検歴情報モジュール_検歴項目情報" xr:uid="{00000000-0004-0000-0500-000032000000}"/>
    <hyperlink ref="P143:AD143" location="バックアップ_バイタルサインモジュール_バイタルサイン!A1" display="バックアップ_バイタルサインモジュール_バイタルサイン" xr:uid="{00000000-0004-0000-0500-000033000000}"/>
    <hyperlink ref="P144:AD144" location="バックアップ_バイタルサインモジュール_記録項目!A1" display="バックアップ_バイタルサインモジュール_記録項目" xr:uid="{00000000-0004-0000-0500-000034000000}"/>
    <hyperlink ref="P145:AD145" location="バックアップ_体温表モジュール_バイタルサイン!A1" display="バックアップ_体温表モジュール_バイタルサイン" xr:uid="{00000000-0004-0000-0500-000035000000}"/>
    <hyperlink ref="P146:AD146" location="バックアップ_体温表モジュール_記録項目!A1" display="バックアップ_体温表モジュール_記録項目" xr:uid="{00000000-0004-0000-0500-000036000000}"/>
    <hyperlink ref="P8:AD8" location="バックアップ_処方データ!A1" display="バックアップ_処方データ" xr:uid="{00000000-0004-0000-0500-000037000000}"/>
    <hyperlink ref="P9:AD9" location="バックアップ_診療行為データ!A1" display="バックアップ_診療行為データ" xr:uid="{00000000-0004-0000-0500-000038000000}"/>
    <hyperlink ref="P10:AD10" location="バックアップ_疾患データ!A1" display="バックアップ_疾患データ" xr:uid="{00000000-0004-0000-0500-000039000000}"/>
    <hyperlink ref="P11:AD11" location="バックアップ_疾患診療科データ!A1" display="バックアップ_疾患診療科データ" xr:uid="{00000000-0004-0000-0500-00003A000000}"/>
    <hyperlink ref="P12:AD12" location="バックアップ_入院退院データ!A1" display="バックアップ_入院退院データ" xr:uid="{00000000-0004-0000-0500-00003B000000}"/>
    <hyperlink ref="P13:AD13" location="バックアップ_二次利用DB登録患者データ!A1" display="バックアップ_二次利用DB登録患者データ" xr:uid="{00000000-0004-0000-0500-00003C000000}"/>
    <hyperlink ref="P14:AD14" location="バックアップ_二次利用DB登録患者データ_DPC!A1" display="バックアップ_二次利用DB登録患者データ_DPC" xr:uid="{00000000-0004-0000-0500-00003D000000}"/>
    <hyperlink ref="P15:AD15" location="バックアップ_二次利用DB登録患者データ_レセプト!A1" display="バックアップ_二次利用DB登録患者データ_レセプト" xr:uid="{00000000-0004-0000-0500-00003E000000}"/>
    <hyperlink ref="P16:AD16" location="バックアップ_二次利用DB登録患者データ_MML!A1" display="バックアップ_二次利用DB登録患者データ_MML" xr:uid="{00000000-0004-0000-0500-00003F000000}"/>
    <hyperlink ref="P17:AD17" location="バックアップ_二次利用DB登録患者紐付けデータ!A1" display="バックアップ_二次利用DB登録患者紐付けデータ" xr:uid="{00000000-0004-0000-0500-000040000000}"/>
    <hyperlink ref="P18:AD18" location="バックアップ_エラー患者データ!A1" display="バックアップ_エラー患者データ" xr:uid="{00000000-0004-0000-0500-000041000000}"/>
    <hyperlink ref="P19:AD19" location="バックアップ_患者基本データ!A1" display="バックアップ_患者基本データ" xr:uid="{00000000-0004-0000-0500-000042000000}"/>
    <hyperlink ref="P20:AD20" location="バックアップ_施設属性マスタ取込用!A1" display="バックアップ_施設属性マスタ取込用" xr:uid="{00000000-0004-0000-0500-000043000000}"/>
    <hyperlink ref="P21:AD21" location="バックアップ_二次医療圏マスタ取込用!A1" display="バックアップ_二次医療圏マスタ取込用" xr:uid="{00000000-0004-0000-0500-000044000000}"/>
    <hyperlink ref="P22:AD22" location="バックアップ_新旧医薬品コードマスタ取込用!A1" display="バックアップ_新旧医薬品コードマスタ取込用" xr:uid="{00000000-0004-0000-0500-000045000000}"/>
    <hyperlink ref="P23:AD23" location="バックアップ_DPC6ICD10対応表マスタ取込用!A1" display="バックアップ_DPC6ICD10対応表マスタ取込用" xr:uid="{00000000-0004-0000-0500-000046000000}"/>
    <hyperlink ref="P24:AD24" location="バックアップ_修飾語マスタ取込用!A1" display="バックアップ_修飾語マスタ取込用" xr:uid="{00000000-0004-0000-0500-000047000000}"/>
    <hyperlink ref="P25:AD25" location="バックアップ_コメントマスタ取込用!A1" display="バックアップ_コメントマスタ取込用" xr:uid="{00000000-0004-0000-0500-000048000000}"/>
    <hyperlink ref="P26:AD26" location="バックアップ_成分量マスタ取込用!A1" display="バックアップ_成分量マスタ取込用" xr:uid="{00000000-0004-0000-0500-000049000000}"/>
    <hyperlink ref="P27:AD27" location="バックアップ_成分名マスタ取込用!A1" display="バックアップ_成分名マスタ取込用" xr:uid="{00000000-0004-0000-0500-00004A000000}"/>
    <hyperlink ref="P28:AD28" location="バックアップ_単位マスタ取込用!A1" display="バックアップ_単位マスタ取込用" xr:uid="{00000000-0004-0000-0500-00004B000000}"/>
    <hyperlink ref="P29:AD29" location="バックアップ_適応病名レセ病名組み合わせ関係リンクマスタ取込用!A1" display="バックアップ_適応病名レセ病名組み合わせ関係リンクマスタ取込用" xr:uid="{00000000-0004-0000-0500-00004C000000}"/>
    <hyperlink ref="P31:AD31" location="バックアップ_適用病名マスタ取込用!A1" display="バックアップ_適用病名マスタ取込用" xr:uid="{00000000-0004-0000-0500-00004D000000}"/>
    <hyperlink ref="P32:AD32" location="バックアップ_ＹＪコード医薬品コードリンクマスタ取込用!A1" display="バックアップ_ＹＪコード医薬品コードリンクマスタ取込用" xr:uid="{00000000-0004-0000-0500-00004E000000}"/>
    <hyperlink ref="P33:AD33" location="バックアップ_診療行為付加情報マスタ取込用!A1" display="バックアップ_診療行為付加情報マスタ取込用" xr:uid="{00000000-0004-0000-0500-00004F000000}"/>
    <hyperlink ref="P34:AD34" location="バックアップ_処理対象施設マスタ!A1" display="バックアップ_処理対象施設マスタ" xr:uid="{00000000-0004-0000-0500-000050000000}"/>
    <hyperlink ref="P35:AD35" location="バックアップ_処理対象施設マスタ管理!A1" display="バックアップ_処理対象施設マスタ管理" xr:uid="{00000000-0004-0000-0500-000051000000}"/>
    <hyperlink ref="P56:AD56" location="バックアップ_年度マスタ!A1" display="バックアップ_年度マスタ" xr:uid="{00000000-0004-0000-0500-000052000000}"/>
    <hyperlink ref="P57:AD57" location="バックアップ_都道府県地方コードマスタ!A1" display="バックアップ_都道府県地方コードマスタ" xr:uid="{00000000-0004-0000-0500-000053000000}"/>
    <hyperlink ref="P58:AD58" location="バックアップ_施設属性マスタ!A1" display="バックアップ_施設属性マスタ" xr:uid="{00000000-0004-0000-0500-000054000000}"/>
    <hyperlink ref="P59:AD59" location="バックアップ_二次医療圏マスタ!A1" display="バックアップ_二次医療圏マスタ" xr:uid="{00000000-0004-0000-0500-000055000000}"/>
    <hyperlink ref="P60:AD60" location="バックアップ_施設ID対応マスタ!A1" display="バックアップ_施設ID対応マスタ" xr:uid="{00000000-0004-0000-0500-000056000000}"/>
    <hyperlink ref="P30:AD30" location="BK_適応病名レセ病名組み合わせ関係リンク親子マスタ取込用!A1" display="バックアップ__適応病名レセ病名組み合わせ関係リンク親子マスタ取込用" xr:uid="{00000000-0004-0000-0500-000057000000}"/>
    <hyperlink ref="P61:AD61" location="バックアップ_医薬品関連マスタ!A1" display="バックアップ_医薬品関連マスタ" xr:uid="{00000000-0004-0000-0500-000058000000}"/>
    <hyperlink ref="P62:AD62" location="バックアップ_薬価関連マスタ!A1" display="バックアップ_薬価関連マスタ" xr:uid="{00000000-0004-0000-0500-000059000000}"/>
    <hyperlink ref="P63:AD63" location="バックアップ_診療行為関連マスタ!A1" display="バックアップ_診療行為関連マスタ" xr:uid="{00000000-0004-0000-0500-00005A000000}"/>
    <hyperlink ref="P64:AD64" location="バックアップ_特定器材関連マスタ!A1" display="バックアップ_特定器材関連マスタ" xr:uid="{00000000-0004-0000-0500-00005B000000}"/>
    <hyperlink ref="P65:AD65" location="バックアップ_DPC関連マスタ!A1" display="バックアップ_DPC関連マスタ" xr:uid="{00000000-0004-0000-0500-00005C000000}"/>
    <hyperlink ref="P66:AD66" location="バックアップ_疾患関連マスタ!A1" display="バックアップ_疾患関連マスタ" xr:uid="{00000000-0004-0000-0500-00005D000000}"/>
    <hyperlink ref="P67:AD67" location="バックアップ_医薬品成分関連マスタ!A1" display="バックアップ_医薬品成分関連マスタ" xr:uid="{00000000-0004-0000-0500-00005E000000}"/>
    <hyperlink ref="P68:AD68" location="バックアップ_医薬品適用病名関連マスタ!A1" display="バックアップ_医薬品適用病名関連マスタ" xr:uid="{00000000-0004-0000-0500-00005F000000}"/>
    <hyperlink ref="P69:AD69" location="バックアップ_MML共通!A1" display="バックアップ_MML共通" xr:uid="{00000000-0004-0000-0500-000060000000}"/>
    <hyperlink ref="P71:AD71" location="バックアップ_MML_診断履歴情報モジュール_病名!A1" display="バックアップ_MML_診断履歴情報モジュール_病名" xr:uid="{00000000-0004-0000-0500-000061000000}"/>
    <hyperlink ref="P72:AD72" location="バックアップ_MML_診断履歴情報モジュール_カテゴリ名!A1" display="バックアップ_MML_診断履歴情報モジュール_カテゴリ名" xr:uid="{00000000-0004-0000-0500-000062000000}"/>
    <hyperlink ref="P73:AD73" location="バックアップ_MML_処方箋モジュール_本文!A1" display="バックアップ_MML_処方箋モジュール_本文" xr:uid="{00000000-0004-0000-0500-000063000000}"/>
    <hyperlink ref="P74:AD74" location="バックアップ_MML_処方箋モジュール_投薬!A1" display="バックアップ_MML_処方箋モジュール_投薬" xr:uid="{00000000-0004-0000-0500-000064000000}"/>
    <hyperlink ref="P75:AD75" location="バックアップ_MML_処方箋モジュール_薬剤!A1" display="バックアップ_MML_処方箋モジュール_薬剤" xr:uid="{00000000-0004-0000-0500-000065000000}"/>
    <hyperlink ref="P76:AD76" location="バックアップ_MML_注射記録モジュール_本文!A1" display="バックアップ_MML_注射記録モジュール_本文" xr:uid="{00000000-0004-0000-0500-000066000000}"/>
    <hyperlink ref="P77:AD77" location="バックアップ_MML_注射記録モジュール_投薬!A1" display="バックアップ_MML_注射記録モジュール_投薬" xr:uid="{00000000-0004-0000-0500-000067000000}"/>
    <hyperlink ref="P78:AD78" location="バックアップ_MML_注射記録モジュール_薬剤!A1" display="バックアップ_MML_注射記録モジュール_薬剤" xr:uid="{00000000-0004-0000-0500-000068000000}"/>
    <hyperlink ref="P79:AD79" location="バックアップ_MML_手術モジュール_手術項目!A1" display="バックアップ_MML_手術モジュール_手術項目" xr:uid="{00000000-0004-0000-0500-000069000000}"/>
    <hyperlink ref="P80:AD80" location="バックアップ_MML_手術モジュール_診療科情報!A1" display="バックアップ_MML_手術モジュール_診療科情報" xr:uid="{00000000-0004-0000-0500-00006A000000}"/>
    <hyperlink ref="P81:AD81" location="バックアップ_MML_手術モジュール_診断履歴情報!A1" display="バックアップ_MML_手術モジュール_診断履歴情報" xr:uid="{00000000-0004-0000-0500-00006B000000}"/>
    <hyperlink ref="P82:AD82" location="バックアップ_MML_手術モジュール_病名!A1" display="バックアップ_MML_手術モジュール_病名" xr:uid="{00000000-0004-0000-0500-00006C000000}"/>
    <hyperlink ref="P83:AD83" location="バックアップ_MML_手術モジュール_カテゴリ名!A1" display="バックアップ_MML_手術モジュール_カテゴリ名" xr:uid="{00000000-0004-0000-0500-00006D000000}"/>
    <hyperlink ref="P84:AD84" location="バックアップ_MML_手術モジュール_手術法!A1" display="バックアップ_MML_手術モジュール_手術法" xr:uid="{00000000-0004-0000-0500-00006E000000}"/>
    <hyperlink ref="P85:AD85" location="バックアップ_MML_手術モジュール_手術要素!A1" display="バックアップ_MML_手術モジュール_手術要素" xr:uid="{00000000-0004-0000-0500-00006F000000}"/>
    <hyperlink ref="P86:AD86" location="バックアップ_MML_手術モジュール_麻酔法!A1" display="バックアップ_MML_手術モジュール_麻酔法" xr:uid="{00000000-0004-0000-0500-000070000000}"/>
    <hyperlink ref="P87:AD87" location="バックアップ_MML_報告書情報モジュール_本文!A1" display="バックアップ_MML_報告書情報モジュール_本文" xr:uid="{00000000-0004-0000-0500-000071000000}"/>
    <hyperlink ref="P88:AD88" location="バックアップ_MML_報告書情報モジュール_検査コメント!A1" display="バックアップ_" xr:uid="{00000000-0004-0000-0500-000072000000}"/>
    <hyperlink ref="P89:AD89" location="バックアップ_MML_生活習慣情報モジュール_本文!A1" display="バックアップ_MML_生活習慣情報モジュール_本文" xr:uid="{00000000-0004-0000-0500-000073000000}"/>
    <hyperlink ref="P91:AD91" location="バックアップ_MML_紹介状モジュール_注射記録!A1" display="バックアップ_MML_紹介状モジュール_注射記録" xr:uid="{00000000-0004-0000-0500-000074000000}"/>
    <hyperlink ref="P92:AD92" location="バックアップ_MML_紹介状モジュール_注射記録投薬!A1" display="バックアップ_MML_紹介状モジュール_注射記録投薬" xr:uid="{00000000-0004-0000-0500-000075000000}"/>
    <hyperlink ref="P93:AD93" location="バックアップ_MML_紹介状モジュール_注射記録薬剤!A1" display="バックアップ_MML_紹介状モジュール_注射記録薬剤" xr:uid="{00000000-0004-0000-0500-000076000000}"/>
    <hyperlink ref="P94:AD94" location="バックアップ_MML_紹介状モジュール_患者情報!A1" display="バックアップ_MML_紹介状モジュール_患者情報" xr:uid="{00000000-0004-0000-0500-000077000000}"/>
    <hyperlink ref="P95:AD95" location="バックアップ_MML_紹介状モジュール_患者情報住所!A1" display="バックアップ_MML_紹介状モジュール_患者情報住所" xr:uid="{00000000-0004-0000-0500-000078000000}"/>
    <hyperlink ref="P96:AD96" location="バックアップ_MML_紹介状モジュール_処方箋!A1" display="バックアップ_MML_紹介状モジュール_処方箋" xr:uid="{00000000-0004-0000-0500-000079000000}"/>
    <hyperlink ref="P97:AD97" location="バックアップ_MML_紹介状モジュール_処方箋投薬!A1" display="バックアップ_MML_紹介状モジュール_処方箋投薬" xr:uid="{00000000-0004-0000-0500-00007A000000}"/>
    <hyperlink ref="P98:AD98" location="バックアップ_MML_紹介状モジュール_処方箋薬剤!A1" display="バックアップ_" xr:uid="{00000000-0004-0000-0500-00007B000000}"/>
    <hyperlink ref="P99:AD99" location="BK_MML_紹介状モジュール_臨床サマリー情報経過記録!A1" display="バックアップ_MML_紹介状モジュール_臨床サマリー情報経過記録" xr:uid="{00000000-0004-0000-0500-00007C000000}"/>
    <hyperlink ref="P100:AD100" location="バックアップ_MML_紹介状モジュール_診療科情報!A1" display="バックアップ_MML_紹介状モジュール_診療科情報" xr:uid="{00000000-0004-0000-0500-00007D000000}"/>
    <hyperlink ref="P70:AD70" location="バックアップ_MML_診断履歴情報モジュール_本文!A1" display="バックアップ_MML_診断履歴情報モジュール_本文" xr:uid="{00000000-0004-0000-0500-00007E000000}"/>
    <hyperlink ref="P90:AD90" location="バックアップ_MML_紹介状モジュール_本文!A1" display="バックアップ_MML_紹介状モジュール_本文" xr:uid="{00000000-0004-0000-0500-00007F000000}"/>
    <hyperlink ref="P36:AD36" location="バックアップ_医薬品マスタ!A1" display="バックアップ_医薬品マスタ" xr:uid="{00000000-0004-0000-0500-000080000000}"/>
    <hyperlink ref="P37:AD37" location="バックアップ_医薬品ブランドマスタ!A1" display="バックアップ_医薬品ブランドマスタ" xr:uid="{00000000-0004-0000-0500-000081000000}"/>
    <hyperlink ref="P38:AD38" location="バックアップ_医薬品一般名マスタ!A1" display="バックアップ_医薬品一般名マスタ" xr:uid="{00000000-0004-0000-0500-000082000000}"/>
    <hyperlink ref="P39:AD39" location="バックアップ_医薬品販売会社マスタ!A1" display="バックアップ_医薬品販売会社マスタ" xr:uid="{00000000-0004-0000-0500-000083000000}"/>
    <hyperlink ref="P40:AD40" location="バックアップ_メーカマスタ!A1" display="バックアップ_メーカマスタ" xr:uid="{00000000-0004-0000-0500-000084000000}"/>
    <hyperlink ref="P41:AD41" location="バックアップ_薬価マスタ!A1" display="バックアップ_薬価マスタ" xr:uid="{00000000-0004-0000-0500-000085000000}"/>
    <hyperlink ref="P42:AD42" location="バックアップ_薬効ATC分類1マスタ!A1" display="バックアップ_薬効ATC分類1マスタ" xr:uid="{00000000-0004-0000-0500-000086000000}"/>
    <hyperlink ref="P43:AD43" location="バックアップ_薬効ATC分類2マスタ!A1" display="バックアップ_薬効ATC分類2マスタ" xr:uid="{00000000-0004-0000-0500-000087000000}"/>
    <hyperlink ref="P44:AD44" location="バックアップ_薬効ATC分類3マスタ!A1" display="バックアップ_薬効ATC分類3マスタ" xr:uid="{00000000-0004-0000-0500-000088000000}"/>
    <hyperlink ref="P45:AD45" location="バックアップ_薬効ATC分類4マスタ!A1" display="バックアップ_薬効ATC分類4マスタ" xr:uid="{00000000-0004-0000-0500-000089000000}"/>
    <hyperlink ref="P46:AD46" location="バックアップ_薬効ATC分類5マスタ!A1" display="バックアップ_薬効ATC分類5マスタ" xr:uid="{00000000-0004-0000-0500-00008A000000}"/>
    <hyperlink ref="P47:AD47" location="バックアップ_疾病マスタ!A1" display="バックアップ_疾病マスタ" xr:uid="{00000000-0004-0000-0500-00008B000000}"/>
    <hyperlink ref="P48:AD48" location="バックアップ_ICD10大分類マスタ!A1" display="バックアップ_ICD10大分類マスタ" xr:uid="{00000000-0004-0000-0500-00008C000000}"/>
    <hyperlink ref="P49:AD49" location="バックアップ_ICD10中分類マスタ!A1" display="バックアップ_ICD10中分類マスタ" xr:uid="{00000000-0004-0000-0500-00008D000000}"/>
    <hyperlink ref="P50:AD50" location="バックアップ_ICD10小分類マスタ!A1" display="バックアップ_ICD10小分類マスタ" xr:uid="{00000000-0004-0000-0500-00008E000000}"/>
    <hyperlink ref="P51:AD51" location="バックアップ_ICD10細分類マスタ!A1" display="バックアップ_ICD10細分類マスタ" xr:uid="{00000000-0004-0000-0500-00008F000000}"/>
    <hyperlink ref="P52:AD52" location="バックアップ_DPC2桁マスタ!A1" display="バックアップ_DPC2桁マスタ" xr:uid="{00000000-0004-0000-0500-000090000000}"/>
    <hyperlink ref="P53:AD53" location="バックアップ_DPC6桁マスタ!A1" display="バックアップ_DPC6桁マスタ" xr:uid="{00000000-0004-0000-0500-000091000000}"/>
    <hyperlink ref="P54:AD54" location="バックアップ_郵便番号マスタ!A1" display="バックアップ_郵便番号マスタ" xr:uid="{00000000-0004-0000-0500-000092000000}"/>
    <hyperlink ref="P55:AD55" location="バックアップ_特定機材マスタ!A1" display="バックアップ_特定機材マスタ" xr:uid="{00000000-0004-0000-0500-000093000000}"/>
    <hyperlink ref="P6:AD6" location="バックアップ_処方データ_組入れ第一条件!A1" display="バックアップ_処方データ_組入れ第一条件" xr:uid="{00000000-0004-0000-0500-000094000000}"/>
    <hyperlink ref="P7:AD7" location="バックアップ_患者マスタ_組入れ第一条件!A1" display="バックアップ_患者マスタ_組入れ第一条件" xr:uid="{00000000-0004-0000-0500-000095000000}"/>
    <hyperlink ref="P152:AD152" location="疾患マスタ!A1" display="疾患マスタ" xr:uid="{00000000-0004-0000-0500-000096000000}"/>
    <hyperlink ref="P153:AD153" location="疾患マスタ!A1" display="疾患マスタ" xr:uid="{00000000-0004-0000-0500-000097000000}"/>
    <hyperlink ref="P154:AD154" location="ベース_処方データ!A1" display="ベース_処方データ" xr:uid="{00000000-0004-0000-0500-000098000000}"/>
    <hyperlink ref="P155:AD155" location="ベース_診療行為データ!A1" display="ベース_診療行為データ" xr:uid="{00000000-0004-0000-0500-000099000000}"/>
    <hyperlink ref="P156:AD156" location="ベース_入院退院データ!A1" display="ベース_入院退院データ" xr:uid="{00000000-0004-0000-0500-00009A000000}"/>
    <hyperlink ref="P157:AD157" location="ベース_患者基本データ!A1" display="ベース_患者基本データ" xr:uid="{00000000-0004-0000-0500-00009B000000}"/>
    <hyperlink ref="P158:AD158" location="ベース_MML共通!A1" display="ベース_MML共通" xr:uid="{00000000-0004-0000-0500-00009C000000}"/>
    <hyperlink ref="P159:AD159" location="ベース_MML_診断履歴情報モジュール_本文!A1" display="ベース_MML_診断履歴情報モジュール_本文" xr:uid="{00000000-0004-0000-0500-00009D000000}"/>
    <hyperlink ref="P160:AD160" location="ベース_MML_診断履歴情報モジュール_病名!A1" display="ベース_MML_診断履歴情報モジュール_病名" xr:uid="{00000000-0004-0000-0500-00009E000000}"/>
    <hyperlink ref="P161:AD161" location="ベース_MML_処方箋モジュール_本文!A1" display="ベース_MML_処方箋モジュール_本文" xr:uid="{00000000-0004-0000-0500-00009F000000}"/>
    <hyperlink ref="P162:AD162" location="ベース_MML_処方箋モジュール_投薬!A1" display="ベース_MML_処方箋モジュール_投薬" xr:uid="{00000000-0004-0000-0500-0000A0000000}"/>
    <hyperlink ref="P163:AD163" location="ベース_MML_処方箋モジュール_薬剤!A1" display="ベース_MML_処方箋モジュール_薬剤" xr:uid="{00000000-0004-0000-0500-0000A1000000}"/>
    <hyperlink ref="P164:AD164" location="ベース_DPC調査データ_入院EF統合ファイル!A1" display="ベース_DPC調査データ_入院EF統合ファイル" xr:uid="{00000000-0004-0000-0500-0000A2000000}"/>
    <hyperlink ref="P169:AD169" location="ベース_診断履歴情報モジュール_診断履歴情報レコード!A1" display="ベース_診断履歴情報モジュール_診断履歴情報レコード" xr:uid="{00000000-0004-0000-0500-0000A3000000}"/>
    <hyperlink ref="P170:AD170" location="ベース_診断履歴情報モジュール_診断病名レコード!A1" display="ベース_診断履歴情報モジュール_診断病名レコード" xr:uid="{00000000-0004-0000-0500-0000A4000000}"/>
    <hyperlink ref="P171:AD171" location="ベース_経過記録情報モジュール_経過記録情報レコード!A1" display="ベース_経過記録情報モジュール_経過記録情報レコード" xr:uid="{00000000-0004-0000-0500-0000A5000000}"/>
    <hyperlink ref="P165:AD165" location="ベース_DPC調査データ_外来EF統合ファイル!A1" display="ベース_DPC調査データ_外来EF統合ファイル" xr:uid="{00000000-0004-0000-0500-0000A6000000}"/>
    <hyperlink ref="P166:AD166" location="ベース_DPC調査データ_様式1!A1" display="ベース_DPC調査データ_様式1" xr:uid="{00000000-0004-0000-0500-0000A7000000}"/>
    <hyperlink ref="P167:AD167" location="ベース_DPC調査データ_様式1_診断情報_併存症!A1" display="ベース_DPC調査データ_様式1_診断情報_併存症" xr:uid="{00000000-0004-0000-0500-0000A8000000}"/>
    <hyperlink ref="P168:AD168" location="ベース_DPC調査データ_様式1_診断情報_続発症!A1" display="ベース_DPC調査データ_様式1_診断情報_続発症" xr:uid="{00000000-0004-0000-0500-0000A9000000}"/>
    <hyperlink ref="P172:AD172" location="ベース_経過記録情報モジュール_プロブレムレコード!A1" display="ベース_経過記録情報モジュール_プロブレムレコード" xr:uid="{00000000-0004-0000-0500-0000AA000000}"/>
    <hyperlink ref="P173:AD173" location="ベース_経過記録情報モジュール_身体所見レコード!A1" display="ベース_経過記録情報モジュール_身体所見レコード" xr:uid="{00000000-0004-0000-0500-0000AB000000}"/>
    <hyperlink ref="P174:AD174" location="ベース_経過記録情報モジュール_アセスメントレコード!A1" display="ベース_経過記録情報モジュール_アセスメントレコード" xr:uid="{00000000-0004-0000-0500-0000AC000000}"/>
    <hyperlink ref="P175:AD175" location="ベース_経過記録情報モジュール_外部参照レコード!A1" display="ベース_経過記録情報モジュール_外部参照レコード" xr:uid="{00000000-0004-0000-0500-0000AD000000}"/>
    <hyperlink ref="P176:AD176" location="ベース_臨床サマリーモジュール_臨床サマリー情報レコード!A1" display="ベース_臨床サマリーモジュール_臨床サマリー情報レコード" xr:uid="{00000000-0004-0000-0500-0000AE000000}"/>
    <hyperlink ref="P177:AD177" location="ベース_臨床サマリーモジュール_外来受診レコード!A1" display="ベース_臨床サマリーモジュール_外来受診レコード" xr:uid="{00000000-0004-0000-0500-0000AF000000}"/>
    <hyperlink ref="P178:AD178" location="ベース_臨床サマリーモジュール_入院レコード!A1" display="ベース_臨床サマリーモジュール_入院レコード" xr:uid="{00000000-0004-0000-0500-0000B0000000}"/>
    <hyperlink ref="P179:AD179" location="ベース_臨床サマリーモジュール_経過記録レコード!A1" display="ベース_臨床サマリーモジュール_経過記録レコード" xr:uid="{00000000-0004-0000-0500-0000B1000000}"/>
    <hyperlink ref="P180:AD180" location="ベース_臨床サマリーモジュール_検査結果レコード!A1" display="ベース_臨床サマリーモジュール_検査結果レコード" xr:uid="{00000000-0004-0000-0500-0000B2000000}"/>
    <hyperlink ref="P181:AD181" location="ベース_検歴情報モジュール_検歴情報!A1" display="ベース_検歴情報モジュール_検歴情報" xr:uid="{00000000-0004-0000-0500-0000B3000000}"/>
    <hyperlink ref="P182:AD182" location="ベース_検歴情報モジュール_検歴検体材料!A1" display="ベース_検歴情報モジュール_検歴検体材料" xr:uid="{00000000-0004-0000-0500-0000B4000000}"/>
    <hyperlink ref="P183:AD183" location="ベース_検歴情報モジュール_検歴項目情報!A1" display="ベース_検歴情報モジュール_検歴項目情報" xr:uid="{00000000-0004-0000-0500-0000B5000000}"/>
    <hyperlink ref="P148:AD148" location="組入れ_対象処方!A1" display="組入れ_対象処方" xr:uid="{FBFB8142-35DC-4544-B84B-E93B612D33E2}"/>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47:F147 C187:F187" numberStoredAsText="1"/>
  </ignoredErrors>
  <legacyDrawingHF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ENT_01_01</v>
      </c>
      <c r="E6" s="239"/>
      <c r="F6" s="239"/>
      <c r="G6" s="239"/>
      <c r="H6" s="239"/>
      <c r="I6" s="239"/>
      <c r="J6" s="240"/>
    </row>
    <row r="7" spans="1:45">
      <c r="B7" s="228" t="s">
        <v>115</v>
      </c>
      <c r="C7" s="229"/>
      <c r="D7" s="230" t="s">
        <v>3725</v>
      </c>
      <c r="E7" s="231"/>
      <c r="F7" s="231"/>
      <c r="G7" s="231"/>
      <c r="H7" s="231"/>
      <c r="I7" s="231"/>
      <c r="J7" s="232"/>
    </row>
    <row r="8" spans="1:45">
      <c r="B8" s="228" t="s">
        <v>116</v>
      </c>
      <c r="C8" s="229"/>
      <c r="D8" s="230" t="str">
        <f>エンティティ一覧!AE2&amp;"_"&amp;D5&amp;"_shohou_first_criteria"</f>
        <v>azn_202310_backup_shohou_first_criteria</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milscm_2023_010.azn_202310_backup_shohou_first_criteria;</v>
      </c>
      <c r="O10" s="78"/>
      <c r="P10" s="78"/>
      <c r="Q10" s="78"/>
      <c r="R10" s="78"/>
      <c r="S10" s="78"/>
      <c r="T10" s="78"/>
      <c r="AJ10" s="78" t="str">
        <f>"ALTER TABLE ONLY "&amp;エンティティ一覧!$O$2&amp;"."&amp;D$8</f>
        <v>ALTER TABLE ONLY milscm_2023_010.azn_202310_backup_shohou_first_criteria</v>
      </c>
      <c r="AS10" s="78" t="str">
        <f>"ALTER TABLE "&amp;エンティティ一覧!$O$2&amp;"."&amp;D$8&amp;" OWNER TO pgmisgrp1;"</f>
        <v>ALTER TABLE milscm_2023_010.azn_202310_backup_shohou_first_criteria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milscm_2023_010.azn_202310_backup_shohou_first_criteria</v>
      </c>
      <c r="O11" s="78"/>
      <c r="P11" s="78"/>
      <c r="Q11" s="78"/>
      <c r="R11" s="78"/>
      <c r="S11" s="78"/>
      <c r="T11" s="78"/>
      <c r="AJ11" s="78" t="str">
        <f>"ADD CONSTRAINT "&amp;D$8&amp;"_pkey PRIMARY KEY"</f>
        <v>ADD CONSTRAINT azn_202310_backup_shohou_first_criteria_pkey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milscm_2023_010.azn_202310_backup_shohou_first_criteria IS 'バックアップ_処方データ_組入れ第一条件';</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milscm_2023_010.azn_202310_backup_shohou_first_criteria.shikibetsu_no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milscm_2023_010.azn_202310_backup_shohou_first_criteria.facility_id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milscm_2023_010.azn_202310_backup_shohou_first_criteria.shinryo_ym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milscm_2023_010.azn_202310_backup_shohou_first_criteria.data_kubun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milscm_2023_010.azn_202310_backup_shohou_first_criteria.junjo_no IS '順序番号';</v>
      </c>
    </row>
    <row r="18" spans="1:45" s="25" customFormat="1" ht="37.5">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milscm_2023_010.azn_202310_backup_shohou_first_criteria.koi_meisai_no IS '行為明細番号';</v>
      </c>
    </row>
    <row r="19" spans="1:45" s="25" customFormat="1" ht="37.5">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milscm_2023_010.azn_202310_backup_shohou_first_criteria.receipt_densan_code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milscm_2023_010.azn_202310_backup_shohou_first_criteria.kaishaku_no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milscm_2023_010.azn_202310_backup_shohou_first_criteria.shiyoryo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milscm_2023_010.azn_202310_backup_shohou_first_criteria.unit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milscm_2023_010.azn_202310_backup_shohou_first_criteria.meisai_tensu IS '明細点数・金額';</v>
      </c>
    </row>
    <row r="24" spans="1:45" s="25" customFormat="1" ht="37.5">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milscm_2023_010.azn_202310_backup_shohou_first_criteria.ten_kubun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milscm_2023_010.azn_202310_backup_shohou_first_criteria.koi_meisai_kubun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milscm_2023_010.azn_202310_backup_shohou_first_criteria.koi_times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milscm_2023_010.azn_202310_backup_shohou_first_criteria.receipt_type_code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milscm_2023_010.azn_202310_backup_shohou_first_criteria.jisshi_ymd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milscm_2023_010.azn_202310_backup_shohou_first_criteria.receipt_ka_kubun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milscm_2023_010.azn_202310_backup_shohou_first_criteria.department_kubun IS '診療科区分';</v>
      </c>
    </row>
    <row r="31" spans="1:45" s="25" customFormat="1" ht="37.5">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milscm_2023_010.azn_202310_backup_shohou_first_criteria.nyugai_kubun IS '入外区分';</v>
      </c>
    </row>
    <row r="32" spans="1:45" s="25" customFormat="1" ht="19.5"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milscm_2023_010.azn_202310_backup_shohou_first_criteria.seq_no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600-000000000000}"/>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ENT_01_02</v>
      </c>
      <c r="E6" s="239"/>
      <c r="F6" s="239"/>
      <c r="G6" s="239"/>
      <c r="H6" s="239"/>
      <c r="I6" s="239"/>
      <c r="J6" s="240"/>
    </row>
    <row r="7" spans="1:45">
      <c r="B7" s="228" t="s">
        <v>115</v>
      </c>
      <c r="C7" s="229"/>
      <c r="D7" s="230" t="s">
        <v>3726</v>
      </c>
      <c r="E7" s="231"/>
      <c r="F7" s="231"/>
      <c r="G7" s="231"/>
      <c r="H7" s="231"/>
      <c r="I7" s="231"/>
      <c r="J7" s="232"/>
    </row>
    <row r="8" spans="1:45">
      <c r="B8" s="228" t="s">
        <v>116</v>
      </c>
      <c r="C8" s="229"/>
      <c r="D8" s="230" t="str">
        <f>エンティティ一覧!AE2&amp;"_"&amp;D5&amp;"_kanja_first_criteria"</f>
        <v>azn_202310_backup_kanja_first_criteria</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milscm_2023_010.azn_202310_backup_kanja_first_criteria;</v>
      </c>
      <c r="O10" s="78"/>
      <c r="P10" s="78"/>
      <c r="Q10" s="78"/>
      <c r="R10" s="78"/>
      <c r="S10" s="78"/>
      <c r="T10" s="78"/>
      <c r="AJ10" s="78" t="str">
        <f>"ALTER TABLE ONLY "&amp;エンティティ一覧!$O$2&amp;"."&amp;D$8</f>
        <v>ALTER TABLE ONLY milscm_2023_010.azn_202310_backup_kanja_first_criteria</v>
      </c>
      <c r="AS10" s="78" t="str">
        <f>"ALTER TABLE "&amp;エンティティ一覧!$O$2&amp;"."&amp;D$8&amp;" OWNER TO pgmisgrp1;"</f>
        <v>ALTER TABLE milscm_2023_010.azn_202310_backup_kanja_first_criteria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milscm_2023_010.azn_202310_backup_kanja_first_criteria</v>
      </c>
      <c r="O11" s="78"/>
      <c r="P11" s="78"/>
      <c r="Q11" s="78"/>
      <c r="R11" s="78"/>
      <c r="S11" s="78"/>
      <c r="T11" s="78"/>
      <c r="AJ11" s="78" t="str">
        <f>"ADD CONSTRAINT "&amp;D$8&amp;"_pkey PRIMARY KEY"</f>
        <v>ADD CONSTRAINT azn_202310_backup_kanja_first_criteria_pkey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milscm_2023_010.azn_202310_backup_kanja_first_criteria IS 'バックアップ_患者マスタ_組入れ第一条件';</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7" si="0">UPPER(G13)</f>
        <v>TEXT</v>
      </c>
      <c r="R13" s="78" t="str">
        <f t="shared" ref="R13:R17"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milscm_2023_010.azn_202310_backup_kanja_first_criteria.facility_id IS '施設ID';</v>
      </c>
    </row>
    <row r="14" spans="1:45" s="25" customFormat="1">
      <c r="A14" s="4"/>
      <c r="B14" s="21">
        <f t="shared" ref="B14" si="2">ROW()-12</f>
        <v>2</v>
      </c>
      <c r="C14" s="6" t="s">
        <v>2832</v>
      </c>
      <c r="D14" s="6" t="s">
        <v>2448</v>
      </c>
      <c r="E14" s="8"/>
      <c r="F14" s="7" t="s">
        <v>1866</v>
      </c>
      <c r="G14" s="7" t="str">
        <f t="shared" ref="G14" si="3">IF(F14="フラグ","boolean",IF(F14="文字列","text",IF(F14="整数","integer",IF(F14="実数","numeric",""))))</f>
        <v>text</v>
      </c>
      <c r="H14" s="26"/>
      <c r="I14" s="10" t="s">
        <v>127</v>
      </c>
      <c r="J14" s="11" t="s">
        <v>2838</v>
      </c>
      <c r="M14" s="4"/>
      <c r="N14" s="78"/>
      <c r="O14" s="78"/>
      <c r="P14" s="78" t="str">
        <f t="shared" ref="P14" si="4">IF(B14&lt;&gt;1,","&amp;D14,D14)</f>
        <v>,facility_id_mml</v>
      </c>
      <c r="Q14" s="78" t="str">
        <f t="shared" si="0"/>
        <v>TEXT</v>
      </c>
      <c r="R14" s="78" t="str">
        <f t="shared" si="1"/>
        <v/>
      </c>
      <c r="S14" s="78" t="str">
        <f t="shared" ref="S14" si="5">IF(I14="○","NOT NULL","")</f>
        <v>NOT NULL</v>
      </c>
      <c r="T14" s="78" t="str">
        <f t="shared" ref="T14"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milscm_2023_010.azn_202310_backup_kanja_first_criteria.facility_id_mml IS '施設ID（MML）';</v>
      </c>
    </row>
    <row r="15" spans="1:45" s="25" customFormat="1">
      <c r="A15" s="4"/>
      <c r="B15" s="21">
        <f t="shared" ref="B15:B16" si="7">ROW()-12</f>
        <v>3</v>
      </c>
      <c r="C15" s="6" t="s">
        <v>1889</v>
      </c>
      <c r="D15" s="6" t="s">
        <v>1890</v>
      </c>
      <c r="E15" s="8" t="s">
        <v>127</v>
      </c>
      <c r="F15" s="7" t="s">
        <v>1873</v>
      </c>
      <c r="G15" s="7" t="str">
        <f t="shared" ref="G15:G17" si="8">IF(F15="フラグ","boolean",IF(F15="文字列","text",IF(F15="整数","integer",IF(F15="実数","numeric",""))))</f>
        <v>text</v>
      </c>
      <c r="H15" s="26"/>
      <c r="I15" s="10" t="s">
        <v>127</v>
      </c>
      <c r="J15" s="11" t="s">
        <v>1891</v>
      </c>
      <c r="M15" s="4"/>
      <c r="N15" s="78"/>
      <c r="O15" s="78"/>
      <c r="P15" s="78" t="str">
        <f t="shared" ref="P15:P17" si="9">IF(B15&lt;&gt;1,","&amp;D15,D15)</f>
        <v>,himoduke_id</v>
      </c>
      <c r="Q15" s="78" t="str">
        <f t="shared" si="0"/>
        <v>TEXT</v>
      </c>
      <c r="R15" s="78" t="str">
        <f t="shared" si="1"/>
        <v/>
      </c>
      <c r="S15" s="78" t="str">
        <f t="shared" ref="S15:S17" si="10">IF(I15="○","NOT NULL","")</f>
        <v>NOT NULL</v>
      </c>
      <c r="T15" s="78" t="str">
        <f t="shared" ref="T15:T17" si="11">"-- "&amp;C15</f>
        <v>-- 紐付けID</v>
      </c>
      <c r="U15" s="4"/>
      <c r="AA15" s="4"/>
      <c r="AB15" s="4"/>
      <c r="AC15" s="4"/>
      <c r="AD15" s="4"/>
      <c r="AE15" s="4"/>
      <c r="AF15" s="4"/>
      <c r="AG15" s="4"/>
      <c r="AH15" s="4"/>
      <c r="AI15" s="4"/>
      <c r="AJ15" s="78" t="str">
        <f>IF(E15="○",IF(COUNTA(E$13:E15)=1,"",",")&amp;D15,"")</f>
        <v>,himoduke_id</v>
      </c>
      <c r="AK15" s="4"/>
      <c r="AL15" s="4"/>
      <c r="AM15" s="4"/>
      <c r="AN15" s="4"/>
      <c r="AO15" s="4"/>
      <c r="AP15" s="4"/>
      <c r="AQ15" s="4"/>
      <c r="AR15" s="4"/>
      <c r="AS15" s="78" t="str">
        <f>"COMMENT ON COLUMN "&amp;エンティティ一覧!$O$2&amp;"."&amp;D$8&amp;"."&amp;D15&amp;" IS '"&amp;C15&amp;"';"</f>
        <v>COMMENT ON COLUMN milscm_2023_010.azn_202310_backup_kanja_first_criteria.himoduke_id IS '紐付けID';</v>
      </c>
    </row>
    <row r="16" spans="1:45" s="25" customFormat="1">
      <c r="A16" s="4"/>
      <c r="B16" s="21">
        <f t="shared" si="7"/>
        <v>4</v>
      </c>
      <c r="C16" s="6" t="s">
        <v>1865</v>
      </c>
      <c r="D16" s="6" t="s">
        <v>209</v>
      </c>
      <c r="E16" s="8" t="s">
        <v>127</v>
      </c>
      <c r="F16" s="7" t="s">
        <v>1866</v>
      </c>
      <c r="G16" s="7" t="str">
        <f t="shared" si="8"/>
        <v>text</v>
      </c>
      <c r="H16" s="26"/>
      <c r="I16" s="10" t="s">
        <v>127</v>
      </c>
      <c r="J16" s="11" t="s">
        <v>1869</v>
      </c>
      <c r="M16" s="4"/>
      <c r="N16" s="78"/>
      <c r="O16" s="78"/>
      <c r="P16" s="78" t="str">
        <f t="shared" si="9"/>
        <v>,data_type</v>
      </c>
      <c r="Q16" s="78" t="str">
        <f t="shared" si="0"/>
        <v>TEXT</v>
      </c>
      <c r="R16" s="78" t="str">
        <f t="shared" si="1"/>
        <v/>
      </c>
      <c r="S16" s="78" t="str">
        <f t="shared" si="10"/>
        <v>NOT NULL</v>
      </c>
      <c r="T16" s="78" t="str">
        <f t="shared" si="11"/>
        <v>-- データ種別</v>
      </c>
      <c r="U16" s="4"/>
      <c r="AA16" s="4"/>
      <c r="AB16" s="4"/>
      <c r="AC16" s="4"/>
      <c r="AD16" s="4"/>
      <c r="AE16" s="4"/>
      <c r="AF16" s="4"/>
      <c r="AG16" s="4"/>
      <c r="AH16" s="4"/>
      <c r="AI16" s="4"/>
      <c r="AJ16" s="78" t="str">
        <f>IF(E16="○",IF(COUNTA(E$13:E16)=1,"",",")&amp;D16,"")</f>
        <v>,data_type</v>
      </c>
      <c r="AK16" s="4"/>
      <c r="AL16" s="4"/>
      <c r="AM16" s="4"/>
      <c r="AN16" s="4"/>
      <c r="AO16" s="4"/>
      <c r="AP16" s="4"/>
      <c r="AQ16" s="4"/>
      <c r="AR16" s="4"/>
      <c r="AS16" s="78" t="str">
        <f>"COMMENT ON COLUMN "&amp;エンティティ一覧!$O$2&amp;"."&amp;D$8&amp;"."&amp;D16&amp;" IS '"&amp;C16&amp;"';"</f>
        <v>COMMENT ON COLUMN milscm_2023_010.azn_202310_backup_kanja_first_criteria.data_type IS 'データ種別';</v>
      </c>
    </row>
    <row r="17" spans="1:52" s="25" customFormat="1" ht="19.5" thickBot="1">
      <c r="A17" s="4"/>
      <c r="B17" s="27">
        <f>ROW()-12</f>
        <v>5</v>
      </c>
      <c r="C17" s="57" t="s">
        <v>1867</v>
      </c>
      <c r="D17" s="57" t="s">
        <v>1868</v>
      </c>
      <c r="E17" s="56" t="s">
        <v>127</v>
      </c>
      <c r="F17" s="56" t="s">
        <v>1782</v>
      </c>
      <c r="G17" s="56" t="str">
        <f t="shared" si="8"/>
        <v>text</v>
      </c>
      <c r="H17" s="59"/>
      <c r="I17" s="60" t="s">
        <v>127</v>
      </c>
      <c r="J17" s="64"/>
      <c r="N17" s="78"/>
      <c r="O17" s="78"/>
      <c r="P17" s="78" t="str">
        <f t="shared" si="9"/>
        <v>,patient_id</v>
      </c>
      <c r="Q17" s="78" t="str">
        <f t="shared" si="0"/>
        <v>TEXT</v>
      </c>
      <c r="R17" s="78" t="str">
        <f t="shared" si="1"/>
        <v/>
      </c>
      <c r="S17" s="78" t="str">
        <f t="shared" si="10"/>
        <v>NOT NULL</v>
      </c>
      <c r="T17" s="78" t="str">
        <f t="shared" si="11"/>
        <v>-- 患者ID</v>
      </c>
      <c r="U17" s="4"/>
      <c r="AA17" s="4"/>
      <c r="AB17" s="4"/>
      <c r="AC17" s="4"/>
      <c r="AD17" s="4"/>
      <c r="AE17" s="4"/>
      <c r="AF17" s="4"/>
      <c r="AG17" s="4"/>
      <c r="AH17" s="4"/>
      <c r="AI17" s="4"/>
      <c r="AJ17" s="78" t="str">
        <f>IF(E17="○",IF(COUNTA(E$13:E17)=1,"",",")&amp;D17,"")</f>
        <v>,patient_id</v>
      </c>
      <c r="AK17" s="4"/>
      <c r="AL17" s="4"/>
      <c r="AM17" s="4"/>
      <c r="AN17" s="4"/>
      <c r="AO17" s="4"/>
      <c r="AP17" s="4"/>
      <c r="AQ17" s="4"/>
      <c r="AR17" s="4"/>
      <c r="AS17" s="78" t="str">
        <f>"COMMENT ON COLUMN "&amp;エンティティ一覧!$O$2&amp;"."&amp;D$8&amp;"."&amp;D17&amp;" IS '"&amp;C17&amp;"';"</f>
        <v>COMMENT ON COLUMN milscm_2023_010.azn_202310_backup_kanja_first_criteria.patient_id IS '患者ID';</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0700-000000000000}"/>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ENT_01_A1-02</v>
      </c>
      <c r="E6" s="239"/>
      <c r="F6" s="239"/>
      <c r="G6" s="239"/>
      <c r="H6" s="239"/>
      <c r="I6" s="239"/>
      <c r="J6" s="240"/>
    </row>
    <row r="7" spans="1:45">
      <c r="B7" s="228" t="s">
        <v>115</v>
      </c>
      <c r="C7" s="229"/>
      <c r="D7" s="230" t="s">
        <v>1780</v>
      </c>
      <c r="E7" s="231"/>
      <c r="F7" s="231"/>
      <c r="G7" s="231"/>
      <c r="H7" s="231"/>
      <c r="I7" s="231"/>
      <c r="J7" s="232"/>
    </row>
    <row r="8" spans="1:45">
      <c r="B8" s="228" t="s">
        <v>116</v>
      </c>
      <c r="C8" s="229"/>
      <c r="D8" s="230" t="str">
        <f>エンティティ一覧!AE2&amp;"_"&amp;D5&amp;"_mart_shohou"</f>
        <v>azn_202310_backup_mart_shohou</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処方データテーブルから組入れ条件の第一条件で絞り込んだ結果を格納するテーブル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milscm_2023_010.azn_202310_backup_mart_shohou;</v>
      </c>
      <c r="O10" s="78"/>
      <c r="P10" s="78"/>
      <c r="Q10" s="78"/>
      <c r="R10" s="78"/>
      <c r="S10" s="78"/>
      <c r="T10" s="78"/>
      <c r="AJ10" s="78" t="str">
        <f>"ALTER TABLE ONLY "&amp;エンティティ一覧!$O$2&amp;"."&amp;D$8</f>
        <v>ALTER TABLE ONLY milscm_2023_010.azn_202310_backup_mart_shohou</v>
      </c>
      <c r="AS10" s="78" t="str">
        <f>"ALTER TABLE "&amp;エンティティ一覧!$O$2&amp;"."&amp;D$8&amp;" OWNER TO pgmisgrp1;"</f>
        <v>ALTER TABLE milscm_2023_010.azn_202310_backup_mart_shohou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milscm_2023_010.azn_202310_backup_mart_shohou</v>
      </c>
      <c r="O11" s="78"/>
      <c r="P11" s="78"/>
      <c r="Q11" s="78"/>
      <c r="R11" s="78"/>
      <c r="S11" s="78"/>
      <c r="T11" s="78"/>
      <c r="AJ11" s="78" t="str">
        <f>"ADD CONSTRAINT "&amp;D$8&amp;"_pkey PRIMARY KEY"</f>
        <v>ADD CONSTRAINT azn_202310_backup_mart_shohou_pkey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milscm_2023_010.azn_202310_backup_mart_shohou IS 'バックアップ_処方データ';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milscm_2023_010.azn_202310_backup_mart_shohou.shikibetsu_no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milscm_2023_010.azn_202310_backup_mart_shohou.facility_id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milscm_2023_010.azn_202310_backup_mart_shohou.shinryo_ym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milscm_2023_010.azn_202310_backup_mart_shohou.data_kubun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milscm_2023_010.azn_202310_backup_mart_shohou.junjo_no IS '順序番号';</v>
      </c>
    </row>
    <row r="18" spans="1:45" s="25" customFormat="1" ht="37.5">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milscm_2023_010.azn_202310_backup_mart_shohou.koi_meisai_no IS '行為明細番号';</v>
      </c>
    </row>
    <row r="19" spans="1:45" s="25" customFormat="1" ht="37.5">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milscm_2023_010.azn_202310_backup_mart_shohou.receipt_densan_code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milscm_2023_010.azn_202310_backup_mart_shohou.kaishaku_no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milscm_2023_010.azn_202310_backup_mart_shohou.shiyoryo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milscm_2023_010.azn_202310_backup_mart_shohou.unit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milscm_2023_010.azn_202310_backup_mart_shohou.meisai_tensu IS '明細点数・金額';</v>
      </c>
    </row>
    <row r="24" spans="1:45" s="25" customFormat="1" ht="37.5">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milscm_2023_010.azn_202310_backup_mart_shohou.ten_kubun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milscm_2023_010.azn_202310_backup_mart_shohou.koi_meisai_kubun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milscm_2023_010.azn_202310_backup_mart_shohou.koi_times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milscm_2023_010.azn_202310_backup_mart_shohou.receipt_type_code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milscm_2023_010.azn_202310_backup_mart_shohou.jisshi_ymd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milscm_2023_010.azn_202310_backup_mart_shohou.receipt_ka_kubun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milscm_2023_010.azn_202310_backup_mart_shohou.department_kubun IS '診療科区分';</v>
      </c>
    </row>
    <row r="31" spans="1:45" s="25" customFormat="1" ht="37.5">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milscm_2023_010.azn_202310_backup_mart_shohou.nyugai_kubun IS '入外区分';</v>
      </c>
    </row>
    <row r="32" spans="1:45" s="25" customFormat="1" ht="19.5"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milscm_2023_010.azn_202310_backup_mart_shohou.seq_no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800-000000000000}"/>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ENT_01_A1-03</v>
      </c>
      <c r="E6" s="239"/>
      <c r="F6" s="239"/>
      <c r="G6" s="239"/>
      <c r="H6" s="239"/>
      <c r="I6" s="239"/>
      <c r="J6" s="240"/>
    </row>
    <row r="7" spans="1:45">
      <c r="B7" s="228" t="s">
        <v>115</v>
      </c>
      <c r="C7" s="229"/>
      <c r="D7" s="230" t="s">
        <v>1807</v>
      </c>
      <c r="E7" s="231"/>
      <c r="F7" s="231"/>
      <c r="G7" s="231"/>
      <c r="H7" s="231"/>
      <c r="I7" s="231"/>
      <c r="J7" s="232"/>
    </row>
    <row r="8" spans="1:45">
      <c r="B8" s="228" t="s">
        <v>116</v>
      </c>
      <c r="C8" s="229"/>
      <c r="D8" s="230" t="str">
        <f>エンティティ一覧!AE2&amp;"_"&amp;D5&amp;"_mart_shinryou_koui"</f>
        <v>azn_202310_backup_mart_shinryou_koui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診療行為データテーブルから組入れ条件の第一条件で絞り込んだ結果を格納するテーブル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milscm_2023_010.azn_202310_backup_mart_shinryou_koui;</v>
      </c>
      <c r="O10" s="78"/>
      <c r="P10" s="78"/>
      <c r="Q10" s="78"/>
      <c r="R10" s="78"/>
      <c r="S10" s="78"/>
      <c r="T10" s="78"/>
      <c r="AJ10" s="78" t="str">
        <f>"ALTER TABLE ONLY "&amp;エンティティ一覧!$O$2&amp;"."&amp;D$8</f>
        <v>ALTER TABLE ONLY milscm_2023_010.azn_202310_backup_mart_shinryou_koui</v>
      </c>
      <c r="AS10" s="78" t="str">
        <f>"ALTER TABLE "&amp;エンティティ一覧!$O$2&amp;"."&amp;D$8&amp;" OWNER TO pgmisgrp1;"</f>
        <v>ALTER TABLE milscm_2023_010.azn_202310_backup_mart_shinryou_koui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milscm_2023_010.azn_202310_backup_mart_shinryou_koui</v>
      </c>
      <c r="O11" s="78"/>
      <c r="P11" s="78"/>
      <c r="Q11" s="78"/>
      <c r="R11" s="78"/>
      <c r="S11" s="78"/>
      <c r="T11" s="78"/>
      <c r="AJ11" s="78" t="str">
        <f>"ADD CONSTRAINT "&amp;D$8&amp;"_pkey PRIMARY KEY"</f>
        <v>ADD CONSTRAINT azn_202310_backup_mart_shinryou_koui_pkey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milscm_2023_010.azn_202310_backup_mart_shinryou_koui IS 'バックアップ_診療行為データ';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milscm_2023_010.azn_202310_backup_mart_shinryou_koui.shikibetsu_no IS 'データ識別番号';</v>
      </c>
    </row>
    <row r="14" spans="1:45" s="25" customFormat="1">
      <c r="A14" s="4"/>
      <c r="B14" s="21">
        <f t="shared" ref="B14:B35" si="2">ROW()-12</f>
        <v>2</v>
      </c>
      <c r="C14" s="6" t="s">
        <v>137</v>
      </c>
      <c r="D14" s="6" t="s">
        <v>128</v>
      </c>
      <c r="E14" s="8" t="s">
        <v>127</v>
      </c>
      <c r="F14" s="7" t="s">
        <v>1782</v>
      </c>
      <c r="G14" s="7" t="str">
        <f t="shared" ref="G14:G36" si="3">IF(F14="フラグ","boolean",IF(F14="文字列","text",IF(F14="整数","integer",IF(F14="実数","numeric",""))))</f>
        <v>text</v>
      </c>
      <c r="H14" s="26"/>
      <c r="I14" s="10" t="s">
        <v>127</v>
      </c>
      <c r="J14" s="11" t="s">
        <v>1801</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milscm_2023_010.azn_202310_backup_mart_shinryou_koui.facility_id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milscm_2023_010.azn_202310_backup_mart_shinryou_koui.shinryo_ym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milscm_2023_010.azn_202310_backup_mart_shinryou_koui.data_kubun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milscm_2023_010.azn_202310_backup_mart_shinryou_koui.junjo_no IS '順序番号';</v>
      </c>
    </row>
    <row r="18" spans="1:45" s="25" customFormat="1" ht="37.5">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milscm_2023_010.azn_202310_backup_mart_shinryou_koui.koi_meisai_no IS '行為明細番号';</v>
      </c>
    </row>
    <row r="19" spans="1:45" s="25" customFormat="1" ht="37.5">
      <c r="A19" s="4"/>
      <c r="B19" s="21">
        <f t="shared" si="2"/>
        <v>7</v>
      </c>
      <c r="C19" s="13" t="s">
        <v>145</v>
      </c>
      <c r="D19" s="13" t="s">
        <v>154</v>
      </c>
      <c r="E19" s="7"/>
      <c r="F19" s="7" t="s">
        <v>1782</v>
      </c>
      <c r="G19" s="7" t="str">
        <f t="shared" si="3"/>
        <v>text</v>
      </c>
      <c r="H19" s="58"/>
      <c r="I19" s="23"/>
      <c r="J19" s="24" t="s">
        <v>1812</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milscm_2023_010.azn_202310_backup_mart_shinryou_koui.receipt_densan_code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milscm_2023_010.azn_202310_backup_mart_shinryou_koui.kaishaku_no IS '解釈番号';</v>
      </c>
    </row>
    <row r="21" spans="1:45" s="25" customFormat="1" ht="37.5">
      <c r="A21" s="4"/>
      <c r="B21" s="21">
        <f t="shared" si="2"/>
        <v>9</v>
      </c>
      <c r="C21" s="13" t="s">
        <v>1788</v>
      </c>
      <c r="D21" s="13" t="s">
        <v>129</v>
      </c>
      <c r="E21" s="7"/>
      <c r="F21" s="7" t="s">
        <v>1789</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milscm_2023_010.azn_202310_backup_mart_shinryou_koui.shiyoryo IS '使用量';</v>
      </c>
    </row>
    <row r="22" spans="1:45" s="25" customFormat="1">
      <c r="A22" s="4"/>
      <c r="B22" s="21">
        <f t="shared" si="2"/>
        <v>10</v>
      </c>
      <c r="C22" s="13" t="s">
        <v>1790</v>
      </c>
      <c r="D22" s="13" t="s">
        <v>277</v>
      </c>
      <c r="E22" s="7"/>
      <c r="F22" s="7" t="s">
        <v>1782</v>
      </c>
      <c r="G22" s="7" t="str">
        <f t="shared" si="3"/>
        <v>text</v>
      </c>
      <c r="H22" s="58"/>
      <c r="I22" s="23"/>
      <c r="J22" s="24" t="s">
        <v>1813</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milscm_2023_010.azn_202310_backup_mart_shinryou_koui.unit IS '基準単位';</v>
      </c>
    </row>
    <row r="23" spans="1:45" s="25" customFormat="1">
      <c r="A23" s="4"/>
      <c r="B23" s="21">
        <f t="shared" si="2"/>
        <v>11</v>
      </c>
      <c r="C23" s="13" t="s">
        <v>1791</v>
      </c>
      <c r="D23" s="13" t="s">
        <v>130</v>
      </c>
      <c r="E23" s="7"/>
      <c r="F23" s="7" t="s">
        <v>1789</v>
      </c>
      <c r="G23" s="7" t="str">
        <f t="shared" si="3"/>
        <v>numeric</v>
      </c>
      <c r="H23" s="58"/>
      <c r="I23" s="23"/>
      <c r="J23" s="24" t="s">
        <v>1813</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milscm_2023_010.azn_202310_backup_mart_shinryou_koui.meisai_tensu IS '明細点数・金額';</v>
      </c>
    </row>
    <row r="24" spans="1:45" s="25" customFormat="1" ht="37.5">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milscm_2023_010.azn_202310_backup_mart_shinryou_koui.ten_kubun IS '円・点区分';</v>
      </c>
    </row>
    <row r="25" spans="1:45" s="25" customFormat="1">
      <c r="A25" s="4"/>
      <c r="B25" s="21">
        <f t="shared" si="2"/>
        <v>13</v>
      </c>
      <c r="C25" s="13" t="s">
        <v>1808</v>
      </c>
      <c r="D25" s="13" t="s">
        <v>281</v>
      </c>
      <c r="E25" s="7"/>
      <c r="F25" s="7" t="s">
        <v>1789</v>
      </c>
      <c r="G25" s="7" t="str">
        <f t="shared" si="3"/>
        <v>numeric</v>
      </c>
      <c r="H25" s="58"/>
      <c r="I25" s="23"/>
      <c r="J25" s="24" t="s">
        <v>1813</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milscm_2023_010.azn_202310_backup_mart_shinryou_koui.dekidaka_tensu IS '出来高実績点数';</v>
      </c>
    </row>
    <row r="26" spans="1:45" s="25" customFormat="1" ht="56.25">
      <c r="A26" s="4"/>
      <c r="B26" s="21">
        <f t="shared" si="2"/>
        <v>14</v>
      </c>
      <c r="C26" s="13" t="s">
        <v>1793</v>
      </c>
      <c r="D26" s="13" t="s">
        <v>132</v>
      </c>
      <c r="E26" s="7"/>
      <c r="F26" s="7" t="s">
        <v>1782</v>
      </c>
      <c r="G26" s="7" t="str">
        <f t="shared" si="3"/>
        <v>text</v>
      </c>
      <c r="H26" s="58"/>
      <c r="I26" s="23"/>
      <c r="J26" s="24" t="s">
        <v>1814</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milscm_2023_010.azn_202310_backup_mart_shinryou_koui.koi_meisai_kubun IS '行為明細区分情報';</v>
      </c>
    </row>
    <row r="27" spans="1:45" s="25" customFormat="1" ht="37.5">
      <c r="A27" s="4"/>
      <c r="B27" s="21">
        <f t="shared" si="2"/>
        <v>15</v>
      </c>
      <c r="C27" s="13" t="s">
        <v>1809</v>
      </c>
      <c r="D27" s="13" t="s">
        <v>225</v>
      </c>
      <c r="E27" s="7"/>
      <c r="F27" s="7" t="s">
        <v>1789</v>
      </c>
      <c r="G27" s="7" t="str">
        <f t="shared" si="3"/>
        <v>numeric</v>
      </c>
      <c r="H27" s="58"/>
      <c r="I27" s="23"/>
      <c r="J27" s="24" t="s">
        <v>1815</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milscm_2023_010.azn_202310_backup_mart_shinryou_koui.koi_tensu IS '行為点数';</v>
      </c>
    </row>
    <row r="28" spans="1:45" s="25" customFormat="1">
      <c r="A28" s="4"/>
      <c r="B28" s="21">
        <f t="shared" si="2"/>
        <v>16</v>
      </c>
      <c r="C28" s="13" t="s">
        <v>1810</v>
      </c>
      <c r="D28" s="13" t="s">
        <v>228</v>
      </c>
      <c r="E28" s="7"/>
      <c r="F28" s="7" t="s">
        <v>1789</v>
      </c>
      <c r="G28" s="7" t="str">
        <f t="shared" si="3"/>
        <v>numeric</v>
      </c>
      <c r="H28" s="58"/>
      <c r="I28" s="23"/>
      <c r="J28" s="24" t="s">
        <v>1813</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milscm_2023_010.azn_202310_backup_mart_shinryou_koui.koi_yakuzai IS '行為薬剤料';</v>
      </c>
    </row>
    <row r="29" spans="1:45" s="25" customFormat="1">
      <c r="A29" s="4"/>
      <c r="B29" s="21">
        <f t="shared" si="2"/>
        <v>17</v>
      </c>
      <c r="C29" s="13" t="s">
        <v>1811</v>
      </c>
      <c r="D29" s="13" t="s">
        <v>230</v>
      </c>
      <c r="E29" s="7"/>
      <c r="F29" s="7" t="s">
        <v>1789</v>
      </c>
      <c r="G29" s="7" t="str">
        <f t="shared" si="3"/>
        <v>numeric</v>
      </c>
      <c r="H29" s="58"/>
      <c r="I29" s="23"/>
      <c r="J29" s="24" t="s">
        <v>1813</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milscm_2023_010.azn_202310_backup_mart_shinryou_koui.koi_zairyo IS '行為材料料';</v>
      </c>
    </row>
    <row r="30" spans="1:45" s="25" customFormat="1">
      <c r="A30" s="4"/>
      <c r="B30" s="21">
        <f t="shared" si="2"/>
        <v>18</v>
      </c>
      <c r="C30" s="13" t="s">
        <v>1794</v>
      </c>
      <c r="D30" s="13" t="s">
        <v>133</v>
      </c>
      <c r="E30" s="7"/>
      <c r="F30" s="7" t="s">
        <v>1789</v>
      </c>
      <c r="G30" s="7" t="str">
        <f t="shared" si="3"/>
        <v>numeric</v>
      </c>
      <c r="H30" s="58"/>
      <c r="I30" s="23"/>
      <c r="J30" s="24" t="s">
        <v>1813</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milscm_2023_010.azn_202310_backup_mart_shinryou_koui.koi_times IS '行為回数';</v>
      </c>
    </row>
    <row r="31" spans="1:45" s="25" customFormat="1">
      <c r="A31" s="4"/>
      <c r="B31" s="21">
        <f t="shared" si="2"/>
        <v>19</v>
      </c>
      <c r="C31" s="13" t="s">
        <v>1795</v>
      </c>
      <c r="D31" s="13" t="s">
        <v>234</v>
      </c>
      <c r="E31" s="7"/>
      <c r="F31" s="7" t="s">
        <v>1782</v>
      </c>
      <c r="G31" s="7" t="str">
        <f t="shared" ref="G31:G34" si="7">IF(F31="フラグ","boolean",IF(F31="文字列","text",IF(F31="整数","integer",IF(F31="実数","numeric",""))))</f>
        <v>text</v>
      </c>
      <c r="H31" s="58"/>
      <c r="I31" s="23"/>
      <c r="J31" s="24" t="s">
        <v>1813</v>
      </c>
      <c r="M31" s="4"/>
      <c r="N31" s="78"/>
      <c r="O31" s="78"/>
      <c r="P31" s="78" t="str">
        <f t="shared" ref="P31:P34" si="8">IF(B31&lt;&gt;1,","&amp;D31,D31)</f>
        <v>,receipt_type_code</v>
      </c>
      <c r="Q31" s="78" t="str">
        <f t="shared" ref="Q31:Q34" si="9">UPPER(G31)</f>
        <v>TEXT</v>
      </c>
      <c r="R31" s="78" t="str">
        <f t="shared" ref="R31:R34" si="10">IF(H31&lt;&gt;"","default "&amp;IF(G31="text","'"&amp;H31&amp;"'",H31),"")</f>
        <v/>
      </c>
      <c r="S31" s="78" t="str">
        <f t="shared" ref="S31:S34" si="11">IF(I31="○","NOT NULL","")</f>
        <v/>
      </c>
      <c r="T31" s="78" t="str">
        <f t="shared" ref="T31:T34" si="12">"-- "&amp;C31</f>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milscm_2023_010.azn_202310_backup_mart_shinryou_koui.receipt_type_code IS 'レセプト種別コード';</v>
      </c>
    </row>
    <row r="32" spans="1:45" s="25" customFormat="1">
      <c r="A32" s="4"/>
      <c r="B32" s="21">
        <f t="shared" si="2"/>
        <v>20</v>
      </c>
      <c r="C32" s="13" t="s">
        <v>1796</v>
      </c>
      <c r="D32" s="13" t="s">
        <v>155</v>
      </c>
      <c r="E32" s="7" t="s">
        <v>127</v>
      </c>
      <c r="F32" s="7" t="s">
        <v>1782</v>
      </c>
      <c r="G32" s="7" t="str">
        <f t="shared" si="7"/>
        <v>text</v>
      </c>
      <c r="H32" s="58"/>
      <c r="I32" s="23" t="s">
        <v>127</v>
      </c>
      <c r="J32" s="24" t="s">
        <v>1813</v>
      </c>
      <c r="M32" s="4"/>
      <c r="N32" s="78"/>
      <c r="O32" s="78"/>
      <c r="P32" s="78" t="str">
        <f t="shared" si="8"/>
        <v>,jisshi_ymd</v>
      </c>
      <c r="Q32" s="78" t="str">
        <f t="shared" si="9"/>
        <v>TEXT</v>
      </c>
      <c r="R32" s="78" t="str">
        <f t="shared" si="10"/>
        <v/>
      </c>
      <c r="S32" s="78" t="str">
        <f t="shared" si="11"/>
        <v>NOT NULL</v>
      </c>
      <c r="T32" s="78" t="str">
        <f t="shared" si="12"/>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milscm_2023_010.azn_202310_backup_mart_shinryou_koui.jisshi_ymd IS '実施年月日';</v>
      </c>
    </row>
    <row r="33" spans="1:52" s="25" customFormat="1">
      <c r="A33" s="4"/>
      <c r="B33" s="21">
        <f t="shared" si="2"/>
        <v>21</v>
      </c>
      <c r="C33" s="13" t="s">
        <v>1797</v>
      </c>
      <c r="D33" s="13" t="s">
        <v>236</v>
      </c>
      <c r="E33" s="7"/>
      <c r="F33" s="7" t="s">
        <v>1782</v>
      </c>
      <c r="G33" s="7" t="str">
        <f t="shared" si="7"/>
        <v>text</v>
      </c>
      <c r="H33" s="58"/>
      <c r="I33" s="23"/>
      <c r="J33" s="24" t="s">
        <v>1813</v>
      </c>
      <c r="M33" s="4"/>
      <c r="N33" s="78"/>
      <c r="O33" s="78"/>
      <c r="P33" s="78" t="str">
        <f t="shared" si="8"/>
        <v>,receipt_ka_kubun</v>
      </c>
      <c r="Q33" s="78" t="str">
        <f t="shared" si="9"/>
        <v>TEXT</v>
      </c>
      <c r="R33" s="78" t="str">
        <f t="shared" si="10"/>
        <v/>
      </c>
      <c r="S33" s="78" t="str">
        <f t="shared" si="11"/>
        <v/>
      </c>
      <c r="T33" s="78" t="str">
        <f t="shared" si="12"/>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milscm_2023_010.azn_202310_backup_mart_shinryou_koui.receipt_ka_kubun IS 'レセプト科区分';</v>
      </c>
    </row>
    <row r="34" spans="1:52" s="25" customFormat="1">
      <c r="A34" s="4"/>
      <c r="B34" s="21">
        <f t="shared" si="2"/>
        <v>22</v>
      </c>
      <c r="C34" s="13" t="s">
        <v>134</v>
      </c>
      <c r="D34" s="13" t="s">
        <v>135</v>
      </c>
      <c r="E34" s="7"/>
      <c r="F34" s="7" t="s">
        <v>1782</v>
      </c>
      <c r="G34" s="7" t="str">
        <f t="shared" si="7"/>
        <v>text</v>
      </c>
      <c r="H34" s="58"/>
      <c r="I34" s="23"/>
      <c r="J34" s="24" t="s">
        <v>1813</v>
      </c>
      <c r="M34" s="4"/>
      <c r="N34" s="78"/>
      <c r="O34" s="78"/>
      <c r="P34" s="78" t="str">
        <f t="shared" si="8"/>
        <v>,department_kubun</v>
      </c>
      <c r="Q34" s="78" t="str">
        <f t="shared" si="9"/>
        <v>TEXT</v>
      </c>
      <c r="R34" s="78" t="str">
        <f t="shared" si="10"/>
        <v/>
      </c>
      <c r="S34" s="78" t="str">
        <f t="shared" si="11"/>
        <v/>
      </c>
      <c r="T34" s="78" t="str">
        <f t="shared" si="12"/>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milscm_2023_010.azn_202310_backup_mart_shinryou_koui.department_kubun IS '診療科区分';</v>
      </c>
    </row>
    <row r="35" spans="1:52" s="25" customFormat="1" ht="37.5">
      <c r="A35" s="4"/>
      <c r="B35" s="21">
        <f t="shared" si="2"/>
        <v>23</v>
      </c>
      <c r="C35" s="13" t="s">
        <v>1798</v>
      </c>
      <c r="D35" s="13" t="s">
        <v>244</v>
      </c>
      <c r="E35" s="7"/>
      <c r="F35" s="7" t="s">
        <v>1782</v>
      </c>
      <c r="G35" s="7" t="str">
        <f t="shared" si="3"/>
        <v>text</v>
      </c>
      <c r="H35" s="58"/>
      <c r="I35" s="23"/>
      <c r="J35" s="24" t="s">
        <v>1805</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milscm_2023_010.azn_202310_backup_mart_shinryou_koui.nyugai_kubun IS '入外区分';</v>
      </c>
    </row>
    <row r="36" spans="1:52" s="25" customFormat="1" ht="19.5" thickBot="1">
      <c r="A36" s="4"/>
      <c r="B36" s="27">
        <f>ROW()-12</f>
        <v>24</v>
      </c>
      <c r="C36" s="57" t="s">
        <v>1799</v>
      </c>
      <c r="D36" s="57" t="s">
        <v>1800</v>
      </c>
      <c r="E36" s="56" t="s">
        <v>127</v>
      </c>
      <c r="F36" s="56" t="s">
        <v>205</v>
      </c>
      <c r="G36" s="56" t="str">
        <f t="shared" si="3"/>
        <v>integer</v>
      </c>
      <c r="H36" s="59"/>
      <c r="I36" s="60"/>
      <c r="J36" s="64" t="s">
        <v>1806</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milscm_2023_010.azn_202310_backup_mart_shinryou_koui.seq_no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900-000000000000}"/>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ENT_01_A1-04</v>
      </c>
      <c r="E6" s="239"/>
      <c r="F6" s="239"/>
      <c r="G6" s="239"/>
      <c r="H6" s="239"/>
      <c r="I6" s="239"/>
      <c r="J6" s="240"/>
    </row>
    <row r="7" spans="1:45">
      <c r="B7" s="228" t="s">
        <v>115</v>
      </c>
      <c r="C7" s="229"/>
      <c r="D7" s="230" t="s">
        <v>1816</v>
      </c>
      <c r="E7" s="231"/>
      <c r="F7" s="231"/>
      <c r="G7" s="231"/>
      <c r="H7" s="231"/>
      <c r="I7" s="231"/>
      <c r="J7" s="232"/>
    </row>
    <row r="8" spans="1:45">
      <c r="B8" s="228" t="s">
        <v>116</v>
      </c>
      <c r="C8" s="229"/>
      <c r="D8" s="230" t="str">
        <f>エンティティ一覧!AE2&amp;"_"&amp;D5&amp;"_mart_shikkan"</f>
        <v>azn_202310_backup_mart_shikkan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疾患データテーブルから組入れ条件の第一条件で絞り込んだ結果を格納するテーブル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milscm_2023_010.azn_202310_backup_mart_shikkan;</v>
      </c>
      <c r="O10" s="78"/>
      <c r="P10" s="78"/>
      <c r="Q10" s="78"/>
      <c r="R10" s="78"/>
      <c r="S10" s="78"/>
      <c r="T10" s="78"/>
      <c r="AJ10" s="78" t="str">
        <f>"ALTER TABLE ONLY "&amp;エンティティ一覧!$O$2&amp;"."&amp;D$8</f>
        <v>ALTER TABLE ONLY milscm_2023_010.azn_202310_backup_mart_shikkan</v>
      </c>
      <c r="AS10" s="78" t="str">
        <f>"ALTER TABLE "&amp;エンティティ一覧!$O$2&amp;"."&amp;D$8&amp;" OWNER TO pgmisgrp1;"</f>
        <v>ALTER TABLE milscm_2023_010.azn_202310_backup_mart_shikkan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milscm_2023_010.azn_202310_backup_mart_shikkan</v>
      </c>
      <c r="O11" s="78"/>
      <c r="P11" s="78"/>
      <c r="Q11" s="78"/>
      <c r="R11" s="78"/>
      <c r="S11" s="78"/>
      <c r="T11" s="78"/>
      <c r="AJ11" s="78" t="str">
        <f>"ADD CONSTRAINT "&amp;D$8&amp;"_pkey PRIMARY KEY"</f>
        <v>ADD CONSTRAINT azn_202310_backup_mart_shikkan_pkey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milscm_2023_010.azn_202310_backup_mart_shikkan IS 'バックアップ_疾患データ';</v>
      </c>
    </row>
    <row r="13" spans="1:45" s="25" customFormat="1">
      <c r="A13" s="4"/>
      <c r="B13" s="21">
        <f>ROW()-12</f>
        <v>1</v>
      </c>
      <c r="C13" s="6" t="s">
        <v>1817</v>
      </c>
      <c r="D13" s="6" t="s">
        <v>201</v>
      </c>
      <c r="E13" s="8"/>
      <c r="F13" s="8" t="s">
        <v>1782</v>
      </c>
      <c r="G13" s="7" t="str">
        <f>IF(F13="フラグ","boolean",IF(F13="文字列","text",IF(F13="整数","integer",IF(F13="実数","numeric",""))))</f>
        <v>text</v>
      </c>
      <c r="H13" s="9"/>
      <c r="I13" s="10" t="s">
        <v>127</v>
      </c>
      <c r="J13" s="11" t="s">
        <v>1829</v>
      </c>
      <c r="M13" s="4"/>
      <c r="N13" s="78"/>
      <c r="O13" s="78"/>
      <c r="P13" s="78" t="str">
        <f>IF(B13&lt;&gt;1,","&amp;D13,D13)</f>
        <v>torikomi_ym</v>
      </c>
      <c r="Q13" s="78" t="str">
        <f t="shared" ref="Q13:Q59" si="0">UPPER(G13)</f>
        <v>TEXT</v>
      </c>
      <c r="R13" s="78" t="str">
        <f t="shared" ref="R13:R5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milscm_2023_010.azn_202310_backup_mart_shikkan.torikomi_ym IS '取込年月';</v>
      </c>
    </row>
    <row r="14" spans="1:45" s="25" customFormat="1">
      <c r="A14" s="4"/>
      <c r="B14" s="21">
        <f t="shared" ref="B14:B58" si="2">ROW()-12</f>
        <v>2</v>
      </c>
      <c r="C14" s="6" t="s">
        <v>137</v>
      </c>
      <c r="D14" s="6" t="s">
        <v>128</v>
      </c>
      <c r="E14" s="8" t="s">
        <v>127</v>
      </c>
      <c r="F14" s="7" t="s">
        <v>1782</v>
      </c>
      <c r="G14" s="7" t="str">
        <f t="shared" ref="G14:G59" si="3">IF(F14="フラグ","boolean",IF(F14="文字列","text",IF(F14="整数","integer",IF(F14="実数","numeric",""))))</f>
        <v>text</v>
      </c>
      <c r="H14" s="26"/>
      <c r="I14" s="10" t="s">
        <v>127</v>
      </c>
      <c r="J14" s="11" t="s">
        <v>1830</v>
      </c>
      <c r="M14" s="4"/>
      <c r="N14" s="78"/>
      <c r="O14" s="78"/>
      <c r="P14" s="78" t="str">
        <f t="shared" ref="P14:P59"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milscm_2023_010.azn_202310_backup_mart_shikkan.facility_id IS '施設ID';</v>
      </c>
    </row>
    <row r="15" spans="1:45" s="25" customFormat="1">
      <c r="A15" s="4"/>
      <c r="B15" s="21">
        <f t="shared" si="2"/>
        <v>3</v>
      </c>
      <c r="C15" s="13" t="s">
        <v>1818</v>
      </c>
      <c r="D15" s="13" t="s">
        <v>950</v>
      </c>
      <c r="E15" s="7" t="s">
        <v>127</v>
      </c>
      <c r="F15" s="7" t="s">
        <v>1782</v>
      </c>
      <c r="G15" s="7" t="str">
        <f t="shared" si="3"/>
        <v>text</v>
      </c>
      <c r="H15" s="58"/>
      <c r="I15" s="23" t="s">
        <v>127</v>
      </c>
      <c r="J15" s="24" t="s">
        <v>1831</v>
      </c>
      <c r="M15" s="4"/>
      <c r="N15" s="78"/>
      <c r="O15" s="78"/>
      <c r="P15" s="78" t="str">
        <f t="shared" si="4"/>
        <v>,seikyu_ym</v>
      </c>
      <c r="Q15" s="78" t="str">
        <f t="shared" si="0"/>
        <v>TEXT</v>
      </c>
      <c r="R15" s="78" t="str">
        <f t="shared" si="1"/>
        <v/>
      </c>
      <c r="S15" s="78" t="str">
        <f t="shared" ref="S15:S59" si="5">IF(I15="○","NOT NULL","")</f>
        <v>NOT NULL</v>
      </c>
      <c r="T15" s="78" t="str">
        <f t="shared" ref="T15:T59" si="6">"-- "&amp;C15</f>
        <v>-- 請求年月</v>
      </c>
      <c r="U15" s="4"/>
      <c r="AA15" s="4"/>
      <c r="AB15" s="4"/>
      <c r="AC15" s="4"/>
      <c r="AD15" s="4"/>
      <c r="AE15" s="4"/>
      <c r="AF15" s="4"/>
      <c r="AG15" s="4"/>
      <c r="AH15" s="4"/>
      <c r="AI15" s="4"/>
      <c r="AJ15" s="78" t="str">
        <f>IF(E15="○",IF(COUNTA(E$13:E15)=1,"",",")&amp;D15,"")</f>
        <v>,seikyu_ym</v>
      </c>
      <c r="AK15" s="4"/>
      <c r="AL15" s="4"/>
      <c r="AM15" s="4"/>
      <c r="AN15" s="4"/>
      <c r="AO15" s="4"/>
      <c r="AP15" s="4"/>
      <c r="AQ15" s="4"/>
      <c r="AR15" s="4"/>
      <c r="AS15" s="78" t="str">
        <f>"COMMENT ON COLUMN "&amp;エンティティ一覧!$O$2&amp;"."&amp;D$8&amp;"."&amp;D15&amp;" IS '"&amp;C15&amp;"';"</f>
        <v>COMMENT ON COLUMN milscm_2023_010.azn_202310_backup_mart_shikkan.seikyu_ym IS '請求年月';</v>
      </c>
    </row>
    <row r="16" spans="1:45" s="25" customFormat="1">
      <c r="A16" s="4"/>
      <c r="B16" s="21">
        <f t="shared" si="2"/>
        <v>4</v>
      </c>
      <c r="C16" s="13" t="s">
        <v>1783</v>
      </c>
      <c r="D16" s="13" t="s">
        <v>207</v>
      </c>
      <c r="E16" s="7" t="s">
        <v>127</v>
      </c>
      <c r="F16" s="7" t="s">
        <v>1782</v>
      </c>
      <c r="G16" s="7" t="str">
        <f t="shared" si="3"/>
        <v>text</v>
      </c>
      <c r="H16" s="58"/>
      <c r="I16" s="23" t="s">
        <v>127</v>
      </c>
      <c r="J16" s="24" t="s">
        <v>1832</v>
      </c>
      <c r="M16" s="4"/>
      <c r="N16" s="78"/>
      <c r="O16" s="78"/>
      <c r="P16" s="78" t="str">
        <f t="shared" si="4"/>
        <v>,shinryo_ym</v>
      </c>
      <c r="Q16" s="78" t="str">
        <f t="shared" si="0"/>
        <v>TEXT</v>
      </c>
      <c r="R16" s="78" t="str">
        <f t="shared" si="1"/>
        <v/>
      </c>
      <c r="S16" s="78" t="str">
        <f t="shared" si="5"/>
        <v>NOT NULL</v>
      </c>
      <c r="T16" s="78" t="str">
        <f t="shared" si="6"/>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milscm_2023_010.azn_202310_backup_mart_shikkan.shinryo_ym IS '診療年月';</v>
      </c>
    </row>
    <row r="17" spans="1:45" s="25" customFormat="1">
      <c r="A17" s="4"/>
      <c r="B17" s="21">
        <f t="shared" si="2"/>
        <v>5</v>
      </c>
      <c r="C17" s="13" t="s">
        <v>320</v>
      </c>
      <c r="D17" s="13" t="s">
        <v>209</v>
      </c>
      <c r="E17" s="7"/>
      <c r="F17" s="7" t="s">
        <v>1782</v>
      </c>
      <c r="G17" s="7" t="str">
        <f t="shared" ref="G17:G40" si="7">IF(F17="フラグ","boolean",IF(F17="文字列","text",IF(F17="整数","integer",IF(F17="実数","numeric",""))))</f>
        <v>text</v>
      </c>
      <c r="H17" s="58" t="s">
        <v>977</v>
      </c>
      <c r="I17" s="23" t="s">
        <v>127</v>
      </c>
      <c r="J17" s="24" t="s">
        <v>1833</v>
      </c>
      <c r="M17" s="4"/>
      <c r="N17" s="78"/>
      <c r="O17" s="78"/>
      <c r="P17" s="78" t="str">
        <f t="shared" ref="P17:P40" si="8">IF(B17&lt;&gt;1,","&amp;D17,D17)</f>
        <v>,data_type</v>
      </c>
      <c r="Q17" s="78" t="str">
        <f t="shared" ref="Q17:Q40" si="9">UPPER(G17)</f>
        <v>TEXT</v>
      </c>
      <c r="R17" s="78" t="str">
        <f t="shared" ref="R17:R40" si="10">IF(H17&lt;&gt;"","default "&amp;IF(G17="text","'"&amp;H17&amp;"'",H17),"")</f>
        <v>default 'RCP'</v>
      </c>
      <c r="S17" s="78" t="str">
        <f t="shared" ref="S17:S40" si="11">IF(I17="○","NOT NULL","")</f>
        <v>NOT NULL</v>
      </c>
      <c r="T17" s="78" t="str">
        <f t="shared" ref="T17:T40" si="12">"-- "&amp;C17</f>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milscm_2023_010.azn_202310_backup_mart_shikkan.data_type IS 'データ種別';</v>
      </c>
    </row>
    <row r="18" spans="1:45" s="25" customFormat="1">
      <c r="A18" s="4"/>
      <c r="B18" s="21">
        <f t="shared" si="2"/>
        <v>6</v>
      </c>
      <c r="C18" s="13" t="s">
        <v>951</v>
      </c>
      <c r="D18" s="13" t="s">
        <v>952</v>
      </c>
      <c r="E18" s="7" t="s">
        <v>127</v>
      </c>
      <c r="F18" s="7" t="s">
        <v>1782</v>
      </c>
      <c r="G18" s="7" t="str">
        <f t="shared" si="7"/>
        <v>text</v>
      </c>
      <c r="H18" s="58"/>
      <c r="I18" s="23" t="s">
        <v>127</v>
      </c>
      <c r="J18" s="24" t="s">
        <v>1102</v>
      </c>
      <c r="M18" s="4"/>
      <c r="N18" s="78"/>
      <c r="O18" s="78"/>
      <c r="P18" s="78" t="str">
        <f t="shared" si="8"/>
        <v>,shinsa_kikan</v>
      </c>
      <c r="Q18" s="78" t="str">
        <f t="shared" si="9"/>
        <v>TEXT</v>
      </c>
      <c r="R18" s="78" t="str">
        <f t="shared" si="10"/>
        <v/>
      </c>
      <c r="S18" s="78" t="str">
        <f t="shared" si="11"/>
        <v>NOT NULL</v>
      </c>
      <c r="T18" s="78" t="str">
        <f t="shared" si="12"/>
        <v>-- 審査支払機関</v>
      </c>
      <c r="U18" s="4"/>
      <c r="AA18" s="4"/>
      <c r="AB18" s="4"/>
      <c r="AC18" s="4"/>
      <c r="AD18" s="4"/>
      <c r="AE18" s="4"/>
      <c r="AF18" s="4"/>
      <c r="AG18" s="4"/>
      <c r="AH18" s="4"/>
      <c r="AI18" s="4"/>
      <c r="AJ18" s="78" t="str">
        <f>IF(E18="○",IF(COUNTA(E$13:E18)=1,"",",")&amp;D18,"")</f>
        <v>,shinsa_kikan</v>
      </c>
      <c r="AK18" s="4"/>
      <c r="AL18" s="4"/>
      <c r="AM18" s="4"/>
      <c r="AN18" s="4"/>
      <c r="AO18" s="4"/>
      <c r="AP18" s="4"/>
      <c r="AQ18" s="4"/>
      <c r="AR18" s="4"/>
      <c r="AS18" s="78" t="str">
        <f>"COMMENT ON COLUMN "&amp;エンティティ一覧!$O$2&amp;"."&amp;D$8&amp;"."&amp;D18&amp;" IS '"&amp;C18&amp;"';"</f>
        <v>COMMENT ON COLUMN milscm_2023_010.azn_202310_backup_mart_shikkan.shinsa_kikan IS '審査支払機関';</v>
      </c>
    </row>
    <row r="19" spans="1:45" s="25" customFormat="1" ht="56.25">
      <c r="A19" s="4"/>
      <c r="B19" s="21">
        <f t="shared" si="2"/>
        <v>7</v>
      </c>
      <c r="C19" s="13" t="s">
        <v>1819</v>
      </c>
      <c r="D19" s="13" t="s">
        <v>1820</v>
      </c>
      <c r="E19" s="7" t="s">
        <v>127</v>
      </c>
      <c r="F19" s="7" t="s">
        <v>1782</v>
      </c>
      <c r="G19" s="7" t="str">
        <f t="shared" si="7"/>
        <v>text</v>
      </c>
      <c r="H19" s="58"/>
      <c r="I19" s="23" t="s">
        <v>127</v>
      </c>
      <c r="J19" s="24" t="s">
        <v>1834</v>
      </c>
      <c r="M19" s="4"/>
      <c r="N19" s="78"/>
      <c r="O19" s="78"/>
      <c r="P19" s="78" t="str">
        <f t="shared" si="8"/>
        <v>,jyouhoumoto_kubun</v>
      </c>
      <c r="Q19" s="78" t="str">
        <f t="shared" si="9"/>
        <v>TEXT</v>
      </c>
      <c r="R19" s="78" t="str">
        <f t="shared" si="10"/>
        <v/>
      </c>
      <c r="S19" s="78" t="str">
        <f t="shared" si="11"/>
        <v>NOT NULL</v>
      </c>
      <c r="T19" s="78" t="str">
        <f t="shared" si="12"/>
        <v>-- 情報元区分</v>
      </c>
      <c r="U19" s="4"/>
      <c r="AA19" s="4"/>
      <c r="AB19" s="4"/>
      <c r="AC19" s="4"/>
      <c r="AD19" s="4"/>
      <c r="AE19" s="4"/>
      <c r="AF19" s="4"/>
      <c r="AG19" s="4"/>
      <c r="AH19" s="4"/>
      <c r="AI19" s="4"/>
      <c r="AJ19" s="78" t="str">
        <f>IF(E19="○",IF(COUNTA(E$13:E19)=1,"",",")&amp;D19,"")</f>
        <v>,jyouhoumoto_kubun</v>
      </c>
      <c r="AK19" s="4"/>
      <c r="AL19" s="4"/>
      <c r="AM19" s="4"/>
      <c r="AN19" s="4"/>
      <c r="AO19" s="4"/>
      <c r="AP19" s="4"/>
      <c r="AQ19" s="4"/>
      <c r="AR19" s="4"/>
      <c r="AS19" s="78" t="str">
        <f>"COMMENT ON COLUMN "&amp;エンティティ一覧!$O$2&amp;"."&amp;D$8&amp;"."&amp;D19&amp;" IS '"&amp;C19&amp;"';"</f>
        <v>COMMENT ON COLUMN milscm_2023_010.azn_202310_backup_mart_shikkan.jyouhoumoto_kubun IS '情報元区分';</v>
      </c>
    </row>
    <row r="20" spans="1:45" s="25" customFormat="1">
      <c r="A20" s="4"/>
      <c r="B20" s="21">
        <f t="shared" si="2"/>
        <v>8</v>
      </c>
      <c r="C20" s="13" t="s">
        <v>1821</v>
      </c>
      <c r="D20" s="13" t="s">
        <v>956</v>
      </c>
      <c r="E20" s="7" t="s">
        <v>127</v>
      </c>
      <c r="F20" s="7" t="s">
        <v>205</v>
      </c>
      <c r="G20" s="7" t="str">
        <f t="shared" si="7"/>
        <v>integer</v>
      </c>
      <c r="H20" s="58"/>
      <c r="I20" s="23" t="s">
        <v>127</v>
      </c>
      <c r="J20" s="24" t="s">
        <v>1835</v>
      </c>
      <c r="M20" s="4"/>
      <c r="N20" s="78"/>
      <c r="O20" s="78"/>
      <c r="P20" s="78" t="str">
        <f t="shared" si="8"/>
        <v>,receipt_no</v>
      </c>
      <c r="Q20" s="78" t="str">
        <f t="shared" si="9"/>
        <v>INTEGER</v>
      </c>
      <c r="R20" s="78" t="str">
        <f t="shared" si="10"/>
        <v/>
      </c>
      <c r="S20" s="78" t="str">
        <f t="shared" si="11"/>
        <v>NOT NULL</v>
      </c>
      <c r="T20" s="78" t="str">
        <f t="shared" si="12"/>
        <v>-- レセプト番号</v>
      </c>
      <c r="U20" s="4"/>
      <c r="AA20" s="4"/>
      <c r="AB20" s="4"/>
      <c r="AC20" s="4"/>
      <c r="AD20" s="4"/>
      <c r="AE20" s="4"/>
      <c r="AF20" s="4"/>
      <c r="AG20" s="4"/>
      <c r="AH20" s="4"/>
      <c r="AI20" s="4"/>
      <c r="AJ20" s="78" t="str">
        <f>IF(E20="○",IF(COUNTA(E$13:E20)=1,"",",")&amp;D20,"")</f>
        <v>,receipt_no</v>
      </c>
      <c r="AK20" s="4"/>
      <c r="AL20" s="4"/>
      <c r="AM20" s="4"/>
      <c r="AN20" s="4"/>
      <c r="AO20" s="4"/>
      <c r="AP20" s="4"/>
      <c r="AQ20" s="4"/>
      <c r="AR20" s="4"/>
      <c r="AS20" s="78" t="str">
        <f>"COMMENT ON COLUMN "&amp;エンティティ一覧!$O$2&amp;"."&amp;D$8&amp;"."&amp;D20&amp;" IS '"&amp;C20&amp;"';"</f>
        <v>COMMENT ON COLUMN milscm_2023_010.azn_202310_backup_mart_shikkan.receipt_no IS 'レセプト番号';</v>
      </c>
    </row>
    <row r="21" spans="1:45" s="25" customFormat="1">
      <c r="A21" s="4"/>
      <c r="B21" s="21">
        <f t="shared" si="2"/>
        <v>9</v>
      </c>
      <c r="C21" s="13" t="s">
        <v>1822</v>
      </c>
      <c r="D21" s="13" t="s">
        <v>958</v>
      </c>
      <c r="E21" s="7" t="s">
        <v>127</v>
      </c>
      <c r="F21" s="7" t="s">
        <v>205</v>
      </c>
      <c r="G21" s="7" t="str">
        <f t="shared" si="7"/>
        <v>integer</v>
      </c>
      <c r="H21" s="58"/>
      <c r="I21" s="23" t="s">
        <v>127</v>
      </c>
      <c r="J21" s="24" t="s">
        <v>1836</v>
      </c>
      <c r="M21" s="4"/>
      <c r="N21" s="78"/>
      <c r="O21" s="78"/>
      <c r="P21" s="78" t="str">
        <f t="shared" si="8"/>
        <v>,gyo_no</v>
      </c>
      <c r="Q21" s="78" t="str">
        <f t="shared" si="9"/>
        <v>INTEGER</v>
      </c>
      <c r="R21" s="78" t="str">
        <f t="shared" si="10"/>
        <v/>
      </c>
      <c r="S21" s="78" t="str">
        <f t="shared" si="11"/>
        <v>NOT NULL</v>
      </c>
      <c r="T21" s="78" t="str">
        <f t="shared" si="12"/>
        <v>-- 行番号</v>
      </c>
      <c r="U21" s="4"/>
      <c r="AA21" s="4"/>
      <c r="AB21" s="4"/>
      <c r="AC21" s="4"/>
      <c r="AD21" s="4"/>
      <c r="AE21" s="4"/>
      <c r="AF21" s="4"/>
      <c r="AG21" s="4"/>
      <c r="AH21" s="4"/>
      <c r="AI21" s="4"/>
      <c r="AJ21" s="78" t="str">
        <f>IF(E21="○",IF(COUNTA(E$13:E21)=1,"",",")&amp;D21,"")</f>
        <v>,gyo_no</v>
      </c>
      <c r="AK21" s="4"/>
      <c r="AL21" s="4"/>
      <c r="AM21" s="4"/>
      <c r="AN21" s="4"/>
      <c r="AO21" s="4"/>
      <c r="AP21" s="4"/>
      <c r="AQ21" s="4"/>
      <c r="AR21" s="4"/>
      <c r="AS21" s="78" t="str">
        <f>"COMMENT ON COLUMN "&amp;エンティティ一覧!$O$2&amp;"."&amp;D$8&amp;"."&amp;D21&amp;" IS '"&amp;C21&amp;"';"</f>
        <v>COMMENT ON COLUMN milscm_2023_010.azn_202310_backup_mart_shikkan.gyo_no IS '行番号';</v>
      </c>
    </row>
    <row r="22" spans="1:45" s="25" customFormat="1">
      <c r="A22" s="4"/>
      <c r="B22" s="21">
        <f t="shared" si="2"/>
        <v>10</v>
      </c>
      <c r="C22" s="13" t="s">
        <v>1823</v>
      </c>
      <c r="D22" s="13" t="s">
        <v>960</v>
      </c>
      <c r="E22" s="7" t="s">
        <v>127</v>
      </c>
      <c r="F22" s="7" t="s">
        <v>1782</v>
      </c>
      <c r="G22" s="7" t="str">
        <f t="shared" si="7"/>
        <v>text</v>
      </c>
      <c r="H22" s="58"/>
      <c r="I22" s="23" t="s">
        <v>127</v>
      </c>
      <c r="J22" s="24" t="s">
        <v>1837</v>
      </c>
      <c r="M22" s="4"/>
      <c r="N22" s="78"/>
      <c r="O22" s="78"/>
      <c r="P22" s="78" t="str">
        <f t="shared" si="8"/>
        <v>,karute_no</v>
      </c>
      <c r="Q22" s="78" t="str">
        <f t="shared" si="9"/>
        <v>TEXT</v>
      </c>
      <c r="R22" s="78" t="str">
        <f t="shared" si="10"/>
        <v/>
      </c>
      <c r="S22" s="78" t="str">
        <f t="shared" si="11"/>
        <v>NOT NULL</v>
      </c>
      <c r="T22" s="78" t="str">
        <f t="shared" si="12"/>
        <v>-- カルテ番号等</v>
      </c>
      <c r="U22" s="4"/>
      <c r="AA22" s="4"/>
      <c r="AB22" s="4"/>
      <c r="AC22" s="4"/>
      <c r="AD22" s="4"/>
      <c r="AE22" s="4"/>
      <c r="AF22" s="4"/>
      <c r="AG22" s="4"/>
      <c r="AH22" s="4"/>
      <c r="AI22" s="4"/>
      <c r="AJ22" s="78" t="str">
        <f>IF(E22="○",IF(COUNTA(E$13:E22)=1,"",",")&amp;D22,"")</f>
        <v>,karute_no</v>
      </c>
      <c r="AK22" s="4"/>
      <c r="AL22" s="4"/>
      <c r="AM22" s="4"/>
      <c r="AN22" s="4"/>
      <c r="AO22" s="4"/>
      <c r="AP22" s="4"/>
      <c r="AQ22" s="4"/>
      <c r="AR22" s="4"/>
      <c r="AS22" s="78" t="str">
        <f>"COMMENT ON COLUMN "&amp;エンティティ一覧!$O$2&amp;"."&amp;D$8&amp;"."&amp;D22&amp;" IS '"&amp;C22&amp;"';"</f>
        <v>COMMENT ON COLUMN milscm_2023_010.azn_202310_backup_mart_shikkan.karute_no IS 'カルテ番号等';</v>
      </c>
    </row>
    <row r="23" spans="1:45" s="25" customFormat="1">
      <c r="A23" s="4"/>
      <c r="B23" s="21">
        <f t="shared" si="2"/>
        <v>11</v>
      </c>
      <c r="C23" s="13" t="s">
        <v>1824</v>
      </c>
      <c r="D23" s="13" t="s">
        <v>1244</v>
      </c>
      <c r="E23" s="7"/>
      <c r="F23" s="7" t="s">
        <v>1782</v>
      </c>
      <c r="G23" s="7" t="str">
        <f t="shared" si="7"/>
        <v>text</v>
      </c>
      <c r="H23" s="58"/>
      <c r="I23" s="23"/>
      <c r="J23" s="24" t="s">
        <v>1838</v>
      </c>
      <c r="M23" s="4"/>
      <c r="N23" s="78"/>
      <c r="O23" s="78"/>
      <c r="P23" s="78" t="str">
        <f t="shared" si="8"/>
        <v>,receipt_sokatsu_kubun</v>
      </c>
      <c r="Q23" s="78" t="str">
        <f t="shared" si="9"/>
        <v>TEXT</v>
      </c>
      <c r="R23" s="78" t="str">
        <f t="shared" si="10"/>
        <v/>
      </c>
      <c r="S23" s="78" t="str">
        <f t="shared" si="11"/>
        <v/>
      </c>
      <c r="T23" s="78" t="str">
        <f t="shared" si="12"/>
        <v>-- レセプト総括区分</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milscm_2023_010.azn_202310_backup_mart_shikkan.receipt_sokatsu_kubun IS 'レセプト総括区分';</v>
      </c>
    </row>
    <row r="24" spans="1:45" s="25" customFormat="1">
      <c r="A24" s="4"/>
      <c r="B24" s="21">
        <f t="shared" si="2"/>
        <v>12</v>
      </c>
      <c r="C24" s="13" t="s">
        <v>668</v>
      </c>
      <c r="D24" s="13" t="s">
        <v>875</v>
      </c>
      <c r="E24" s="7"/>
      <c r="F24" s="7" t="s">
        <v>1782</v>
      </c>
      <c r="G24" s="7" t="str">
        <f t="shared" si="7"/>
        <v>text</v>
      </c>
      <c r="H24" s="58"/>
      <c r="I24" s="23"/>
      <c r="J24" s="24"/>
      <c r="M24" s="4"/>
      <c r="N24" s="78"/>
      <c r="O24" s="78"/>
      <c r="P24" s="78" t="str">
        <f t="shared" si="8"/>
        <v>,shobyo_code</v>
      </c>
      <c r="Q24" s="78" t="str">
        <f t="shared" si="9"/>
        <v>TEXT</v>
      </c>
      <c r="R24" s="78" t="str">
        <f t="shared" si="10"/>
        <v/>
      </c>
      <c r="S24" s="78" t="str">
        <f t="shared" si="11"/>
        <v/>
      </c>
      <c r="T24" s="78" t="str">
        <f t="shared" si="12"/>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milscm_2023_010.azn_202310_backup_mart_shikkan.shobyo_code IS '傷病名コード';</v>
      </c>
    </row>
    <row r="25" spans="1:45" s="25" customFormat="1">
      <c r="A25" s="4"/>
      <c r="B25" s="21">
        <f t="shared" si="2"/>
        <v>13</v>
      </c>
      <c r="C25" s="13" t="s">
        <v>1117</v>
      </c>
      <c r="D25" s="13" t="s">
        <v>1118</v>
      </c>
      <c r="E25" s="7"/>
      <c r="F25" s="7" t="s">
        <v>1782</v>
      </c>
      <c r="G25" s="7" t="str">
        <f t="shared" si="7"/>
        <v>text</v>
      </c>
      <c r="H25" s="58"/>
      <c r="I25" s="23"/>
      <c r="J25" s="24" t="s">
        <v>1839</v>
      </c>
      <c r="M25" s="4"/>
      <c r="N25" s="78"/>
      <c r="O25" s="78"/>
      <c r="P25" s="78" t="str">
        <f t="shared" si="8"/>
        <v>,shinryo_start_date</v>
      </c>
      <c r="Q25" s="78" t="str">
        <f t="shared" si="9"/>
        <v>TEXT</v>
      </c>
      <c r="R25" s="78" t="str">
        <f t="shared" si="10"/>
        <v/>
      </c>
      <c r="S25" s="78" t="str">
        <f t="shared" si="11"/>
        <v/>
      </c>
      <c r="T25" s="78" t="str">
        <f t="shared" si="12"/>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milscm_2023_010.azn_202310_backup_mart_shikkan.shinryo_start_date IS '診療開始日';</v>
      </c>
    </row>
    <row r="26" spans="1:45" s="25" customFormat="1">
      <c r="A26" s="4"/>
      <c r="B26" s="21">
        <f t="shared" si="2"/>
        <v>14</v>
      </c>
      <c r="C26" s="13" t="s">
        <v>1119</v>
      </c>
      <c r="D26" s="13" t="s">
        <v>1120</v>
      </c>
      <c r="E26" s="7"/>
      <c r="F26" s="7" t="s">
        <v>1782</v>
      </c>
      <c r="G26" s="7" t="str">
        <f t="shared" si="7"/>
        <v>text</v>
      </c>
      <c r="H26" s="58"/>
      <c r="I26" s="23"/>
      <c r="J26" s="24"/>
      <c r="M26" s="4"/>
      <c r="N26" s="78"/>
      <c r="O26" s="78"/>
      <c r="P26" s="78" t="str">
        <f t="shared" si="8"/>
        <v>,tenki_kubun</v>
      </c>
      <c r="Q26" s="78" t="str">
        <f t="shared" si="9"/>
        <v>TEXT</v>
      </c>
      <c r="R26" s="78" t="str">
        <f t="shared" si="10"/>
        <v/>
      </c>
      <c r="S26" s="78" t="str">
        <f t="shared" si="11"/>
        <v/>
      </c>
      <c r="T26" s="78" t="str">
        <f t="shared" si="12"/>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milscm_2023_010.azn_202310_backup_mart_shikkan.tenki_kubun IS '転帰区分';</v>
      </c>
    </row>
    <row r="27" spans="1:45" s="25" customFormat="1">
      <c r="A27" s="4"/>
      <c r="B27" s="21">
        <f t="shared" si="2"/>
        <v>15</v>
      </c>
      <c r="C27" s="13" t="s">
        <v>670</v>
      </c>
      <c r="D27" s="13" t="s">
        <v>876</v>
      </c>
      <c r="E27" s="7"/>
      <c r="F27" s="7" t="s">
        <v>1782</v>
      </c>
      <c r="G27" s="7" t="str">
        <f t="shared" si="7"/>
        <v>text</v>
      </c>
      <c r="H27" s="58"/>
      <c r="I27" s="23"/>
      <c r="J27" s="24" t="s">
        <v>1840</v>
      </c>
      <c r="M27" s="4"/>
      <c r="N27" s="78"/>
      <c r="O27" s="78"/>
      <c r="P27" s="78" t="str">
        <f t="shared" si="8"/>
        <v>,shushoku_code1</v>
      </c>
      <c r="Q27" s="78" t="str">
        <f t="shared" si="9"/>
        <v>TEXT</v>
      </c>
      <c r="R27" s="78" t="str">
        <f t="shared" si="10"/>
        <v/>
      </c>
      <c r="S27" s="78" t="str">
        <f t="shared" si="11"/>
        <v/>
      </c>
      <c r="T27" s="78" t="str">
        <f t="shared" si="12"/>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milscm_2023_010.azn_202310_backup_mart_shikkan.shushoku_code1 IS '修飾語コード1';</v>
      </c>
    </row>
    <row r="28" spans="1:45" s="25" customFormat="1">
      <c r="A28" s="4"/>
      <c r="B28" s="21">
        <f t="shared" si="2"/>
        <v>16</v>
      </c>
      <c r="C28" s="13" t="s">
        <v>672</v>
      </c>
      <c r="D28" s="13" t="s">
        <v>877</v>
      </c>
      <c r="E28" s="7"/>
      <c r="F28" s="7" t="s">
        <v>1782</v>
      </c>
      <c r="G28" s="7" t="str">
        <f t="shared" si="7"/>
        <v>text</v>
      </c>
      <c r="H28" s="58"/>
      <c r="I28" s="23"/>
      <c r="J28" s="24"/>
      <c r="M28" s="4"/>
      <c r="N28" s="78"/>
      <c r="O28" s="78"/>
      <c r="P28" s="78" t="str">
        <f t="shared" si="8"/>
        <v>,shushoku_code2</v>
      </c>
      <c r="Q28" s="78" t="str">
        <f t="shared" si="9"/>
        <v>TEXT</v>
      </c>
      <c r="R28" s="78" t="str">
        <f t="shared" si="10"/>
        <v/>
      </c>
      <c r="S28" s="78" t="str">
        <f t="shared" si="11"/>
        <v/>
      </c>
      <c r="T28" s="78" t="str">
        <f t="shared" si="12"/>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milscm_2023_010.azn_202310_backup_mart_shikkan.shushoku_code2 IS '修飾語コード2';</v>
      </c>
    </row>
    <row r="29" spans="1:45" s="25" customFormat="1">
      <c r="A29" s="4"/>
      <c r="B29" s="21">
        <f t="shared" si="2"/>
        <v>17</v>
      </c>
      <c r="C29" s="13" t="s">
        <v>674</v>
      </c>
      <c r="D29" s="13" t="s">
        <v>878</v>
      </c>
      <c r="E29" s="7"/>
      <c r="F29" s="7" t="s">
        <v>1782</v>
      </c>
      <c r="G29" s="7" t="str">
        <f t="shared" si="7"/>
        <v>text</v>
      </c>
      <c r="H29" s="58"/>
      <c r="I29" s="23"/>
      <c r="J29" s="24"/>
      <c r="M29" s="4"/>
      <c r="N29" s="78"/>
      <c r="O29" s="78"/>
      <c r="P29" s="78" t="str">
        <f t="shared" si="8"/>
        <v>,shushoku_code3</v>
      </c>
      <c r="Q29" s="78" t="str">
        <f t="shared" si="9"/>
        <v>TEXT</v>
      </c>
      <c r="R29" s="78" t="str">
        <f t="shared" si="10"/>
        <v/>
      </c>
      <c r="S29" s="78" t="str">
        <f t="shared" si="11"/>
        <v/>
      </c>
      <c r="T29" s="78" t="str">
        <f t="shared" si="12"/>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milscm_2023_010.azn_202310_backup_mart_shikkan.shushoku_code3 IS '修飾語コード3';</v>
      </c>
    </row>
    <row r="30" spans="1:45" s="25" customFormat="1">
      <c r="A30" s="4"/>
      <c r="B30" s="21">
        <f t="shared" si="2"/>
        <v>18</v>
      </c>
      <c r="C30" s="13" t="s">
        <v>676</v>
      </c>
      <c r="D30" s="13" t="s">
        <v>879</v>
      </c>
      <c r="E30" s="7"/>
      <c r="F30" s="7" t="s">
        <v>1782</v>
      </c>
      <c r="G30" s="7" t="str">
        <f t="shared" si="7"/>
        <v>text</v>
      </c>
      <c r="H30" s="58"/>
      <c r="I30" s="23"/>
      <c r="J30" s="24"/>
      <c r="M30" s="4"/>
      <c r="N30" s="78"/>
      <c r="O30" s="78"/>
      <c r="P30" s="78" t="str">
        <f t="shared" si="8"/>
        <v>,shushoku_code4</v>
      </c>
      <c r="Q30" s="78" t="str">
        <f t="shared" si="9"/>
        <v>TEXT</v>
      </c>
      <c r="R30" s="78" t="str">
        <f t="shared" si="10"/>
        <v/>
      </c>
      <c r="S30" s="78" t="str">
        <f t="shared" si="11"/>
        <v/>
      </c>
      <c r="T30" s="78" t="str">
        <f t="shared" si="12"/>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milscm_2023_010.azn_202310_backup_mart_shikkan.shushoku_code4 IS '修飾語コード4';</v>
      </c>
    </row>
    <row r="31" spans="1:45" s="25" customFormat="1">
      <c r="A31" s="4"/>
      <c r="B31" s="21">
        <f t="shared" si="2"/>
        <v>19</v>
      </c>
      <c r="C31" s="13" t="s">
        <v>1121</v>
      </c>
      <c r="D31" s="13" t="s">
        <v>1122</v>
      </c>
      <c r="E31" s="7"/>
      <c r="F31" s="7" t="s">
        <v>1782</v>
      </c>
      <c r="G31" s="7" t="str">
        <f t="shared" si="7"/>
        <v>text</v>
      </c>
      <c r="H31" s="58"/>
      <c r="I31" s="23"/>
      <c r="J31" s="24"/>
      <c r="M31" s="4"/>
      <c r="N31" s="78"/>
      <c r="O31" s="78"/>
      <c r="P31" s="78" t="str">
        <f t="shared" si="8"/>
        <v>,shushoku_code5</v>
      </c>
      <c r="Q31" s="78" t="str">
        <f t="shared" si="9"/>
        <v>TEXT</v>
      </c>
      <c r="R31" s="78" t="str">
        <f t="shared" si="10"/>
        <v/>
      </c>
      <c r="S31" s="78" t="str">
        <f t="shared" si="11"/>
        <v/>
      </c>
      <c r="T31" s="78" t="str">
        <f t="shared" si="12"/>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milscm_2023_010.azn_202310_backup_mart_shikkan.shushoku_code5 IS '修飾語コード5';</v>
      </c>
    </row>
    <row r="32" spans="1:45" s="25" customFormat="1">
      <c r="A32" s="4"/>
      <c r="B32" s="21">
        <f t="shared" si="2"/>
        <v>20</v>
      </c>
      <c r="C32" s="13" t="s">
        <v>1123</v>
      </c>
      <c r="D32" s="13" t="s">
        <v>1124</v>
      </c>
      <c r="E32" s="7"/>
      <c r="F32" s="7" t="s">
        <v>1782</v>
      </c>
      <c r="G32" s="7" t="str">
        <f t="shared" si="7"/>
        <v>text</v>
      </c>
      <c r="H32" s="58"/>
      <c r="I32" s="23"/>
      <c r="J32" s="24"/>
      <c r="M32" s="4"/>
      <c r="N32" s="78"/>
      <c r="O32" s="78"/>
      <c r="P32" s="78" t="str">
        <f t="shared" si="8"/>
        <v>,shushoku_code6</v>
      </c>
      <c r="Q32" s="78" t="str">
        <f t="shared" si="9"/>
        <v>TEXT</v>
      </c>
      <c r="R32" s="78" t="str">
        <f t="shared" si="10"/>
        <v/>
      </c>
      <c r="S32" s="78" t="str">
        <f t="shared" si="11"/>
        <v/>
      </c>
      <c r="T32" s="78" t="str">
        <f t="shared" si="12"/>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milscm_2023_010.azn_202310_backup_mart_shikkan.shushoku_code6 IS '修飾語コード6';</v>
      </c>
    </row>
    <row r="33" spans="1:45" s="25" customFormat="1">
      <c r="A33" s="4"/>
      <c r="B33" s="21">
        <f t="shared" si="2"/>
        <v>21</v>
      </c>
      <c r="C33" s="13" t="s">
        <v>1125</v>
      </c>
      <c r="D33" s="13" t="s">
        <v>1126</v>
      </c>
      <c r="E33" s="7"/>
      <c r="F33" s="7" t="s">
        <v>1782</v>
      </c>
      <c r="G33" s="7" t="str">
        <f t="shared" si="7"/>
        <v>text</v>
      </c>
      <c r="H33" s="58"/>
      <c r="I33" s="23"/>
      <c r="J33" s="24"/>
      <c r="M33" s="4"/>
      <c r="N33" s="78"/>
      <c r="O33" s="78"/>
      <c r="P33" s="78" t="str">
        <f t="shared" si="8"/>
        <v>,shushoku_code7</v>
      </c>
      <c r="Q33" s="78" t="str">
        <f t="shared" si="9"/>
        <v>TEXT</v>
      </c>
      <c r="R33" s="78" t="str">
        <f t="shared" si="10"/>
        <v/>
      </c>
      <c r="S33" s="78" t="str">
        <f t="shared" si="11"/>
        <v/>
      </c>
      <c r="T33" s="78" t="str">
        <f t="shared" si="12"/>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milscm_2023_010.azn_202310_backup_mart_shikkan.shushoku_code7 IS '修飾語コード7';</v>
      </c>
    </row>
    <row r="34" spans="1:45" s="25" customFormat="1">
      <c r="A34" s="4"/>
      <c r="B34" s="21">
        <f t="shared" si="2"/>
        <v>22</v>
      </c>
      <c r="C34" s="13" t="s">
        <v>1127</v>
      </c>
      <c r="D34" s="13" t="s">
        <v>1128</v>
      </c>
      <c r="E34" s="7"/>
      <c r="F34" s="7" t="s">
        <v>1782</v>
      </c>
      <c r="G34" s="7" t="str">
        <f t="shared" si="7"/>
        <v>text</v>
      </c>
      <c r="H34" s="58"/>
      <c r="I34" s="23"/>
      <c r="J34" s="24"/>
      <c r="M34" s="4"/>
      <c r="N34" s="78"/>
      <c r="O34" s="78"/>
      <c r="P34" s="78" t="str">
        <f t="shared" si="8"/>
        <v>,shushoku_code8</v>
      </c>
      <c r="Q34" s="78" t="str">
        <f t="shared" si="9"/>
        <v>TEXT</v>
      </c>
      <c r="R34" s="78" t="str">
        <f t="shared" si="10"/>
        <v/>
      </c>
      <c r="S34" s="78" t="str">
        <f t="shared" si="11"/>
        <v/>
      </c>
      <c r="T34" s="78" t="str">
        <f t="shared" si="12"/>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milscm_2023_010.azn_202310_backup_mart_shikkan.shushoku_code8 IS '修飾語コード8';</v>
      </c>
    </row>
    <row r="35" spans="1:45" s="25" customFormat="1">
      <c r="A35" s="4"/>
      <c r="B35" s="21">
        <f t="shared" si="2"/>
        <v>23</v>
      </c>
      <c r="C35" s="13" t="s">
        <v>1129</v>
      </c>
      <c r="D35" s="13" t="s">
        <v>1130</v>
      </c>
      <c r="E35" s="7"/>
      <c r="F35" s="7" t="s">
        <v>1782</v>
      </c>
      <c r="G35" s="7" t="str">
        <f t="shared" si="7"/>
        <v>text</v>
      </c>
      <c r="H35" s="58"/>
      <c r="I35" s="23"/>
      <c r="J35" s="24"/>
      <c r="M35" s="4"/>
      <c r="N35" s="78"/>
      <c r="O35" s="78"/>
      <c r="P35" s="78" t="str">
        <f t="shared" si="8"/>
        <v>,shushoku_code9</v>
      </c>
      <c r="Q35" s="78" t="str">
        <f t="shared" si="9"/>
        <v>TEXT</v>
      </c>
      <c r="R35" s="78" t="str">
        <f t="shared" si="10"/>
        <v/>
      </c>
      <c r="S35" s="78" t="str">
        <f t="shared" si="11"/>
        <v/>
      </c>
      <c r="T35" s="78" t="str">
        <f t="shared" si="12"/>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milscm_2023_010.azn_202310_backup_mart_shikkan.shushoku_code9 IS '修飾語コード9';</v>
      </c>
    </row>
    <row r="36" spans="1:45" s="25" customFormat="1">
      <c r="A36" s="4"/>
      <c r="B36" s="21">
        <f t="shared" si="2"/>
        <v>24</v>
      </c>
      <c r="C36" s="13" t="s">
        <v>1131</v>
      </c>
      <c r="D36" s="13" t="s">
        <v>1132</v>
      </c>
      <c r="E36" s="7"/>
      <c r="F36" s="7" t="s">
        <v>1782</v>
      </c>
      <c r="G36" s="7" t="str">
        <f t="shared" si="7"/>
        <v>text</v>
      </c>
      <c r="H36" s="58"/>
      <c r="I36" s="23"/>
      <c r="J36" s="24"/>
      <c r="M36" s="4"/>
      <c r="N36" s="78"/>
      <c r="O36" s="78"/>
      <c r="P36" s="78" t="str">
        <f t="shared" si="8"/>
        <v>,shushoku_code10</v>
      </c>
      <c r="Q36" s="78" t="str">
        <f t="shared" si="9"/>
        <v>TEXT</v>
      </c>
      <c r="R36" s="78" t="str">
        <f t="shared" si="10"/>
        <v/>
      </c>
      <c r="S36" s="78" t="str">
        <f t="shared" si="11"/>
        <v/>
      </c>
      <c r="T36" s="78" t="str">
        <f t="shared" si="12"/>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milscm_2023_010.azn_202310_backup_mart_shikkan.shushoku_code10 IS '修飾語コード10';</v>
      </c>
    </row>
    <row r="37" spans="1:45" s="25" customFormat="1">
      <c r="A37" s="4"/>
      <c r="B37" s="21">
        <f t="shared" si="2"/>
        <v>25</v>
      </c>
      <c r="C37" s="13" t="s">
        <v>1133</v>
      </c>
      <c r="D37" s="13" t="s">
        <v>1134</v>
      </c>
      <c r="E37" s="7"/>
      <c r="F37" s="7" t="s">
        <v>1782</v>
      </c>
      <c r="G37" s="7" t="str">
        <f t="shared" si="7"/>
        <v>text</v>
      </c>
      <c r="H37" s="58"/>
      <c r="I37" s="23"/>
      <c r="J37" s="24"/>
      <c r="M37" s="4"/>
      <c r="N37" s="78"/>
      <c r="O37" s="78"/>
      <c r="P37" s="78" t="str">
        <f t="shared" si="8"/>
        <v>,shushoku_code11</v>
      </c>
      <c r="Q37" s="78" t="str">
        <f t="shared" si="9"/>
        <v>TEXT</v>
      </c>
      <c r="R37" s="78" t="str">
        <f t="shared" si="10"/>
        <v/>
      </c>
      <c r="S37" s="78" t="str">
        <f t="shared" si="11"/>
        <v/>
      </c>
      <c r="T37" s="78" t="str">
        <f t="shared" si="12"/>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milscm_2023_010.azn_202310_backup_mart_shikkan.shushoku_code11 IS '修飾語コード11';</v>
      </c>
    </row>
    <row r="38" spans="1:45" s="25" customFormat="1">
      <c r="A38" s="4"/>
      <c r="B38" s="21">
        <f t="shared" si="2"/>
        <v>26</v>
      </c>
      <c r="C38" s="13" t="s">
        <v>1135</v>
      </c>
      <c r="D38" s="13" t="s">
        <v>1136</v>
      </c>
      <c r="E38" s="7"/>
      <c r="F38" s="7" t="s">
        <v>1782</v>
      </c>
      <c r="G38" s="7" t="str">
        <f t="shared" si="7"/>
        <v>text</v>
      </c>
      <c r="H38" s="58"/>
      <c r="I38" s="23"/>
      <c r="J38" s="24"/>
      <c r="M38" s="4"/>
      <c r="N38" s="78"/>
      <c r="O38" s="78"/>
      <c r="P38" s="78" t="str">
        <f t="shared" si="8"/>
        <v>,shushoku_code12</v>
      </c>
      <c r="Q38" s="78" t="str">
        <f t="shared" si="9"/>
        <v>TEXT</v>
      </c>
      <c r="R38" s="78" t="str">
        <f t="shared" si="10"/>
        <v/>
      </c>
      <c r="S38" s="78" t="str">
        <f t="shared" si="11"/>
        <v/>
      </c>
      <c r="T38" s="78" t="str">
        <f t="shared" si="12"/>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milscm_2023_010.azn_202310_backup_mart_shikkan.shushoku_code12 IS '修飾語コード12';</v>
      </c>
    </row>
    <row r="39" spans="1:45" s="25" customFormat="1">
      <c r="A39" s="4"/>
      <c r="B39" s="21">
        <f t="shared" si="2"/>
        <v>27</v>
      </c>
      <c r="C39" s="13" t="s">
        <v>1137</v>
      </c>
      <c r="D39" s="13" t="s">
        <v>1138</v>
      </c>
      <c r="E39" s="7"/>
      <c r="F39" s="7" t="s">
        <v>1782</v>
      </c>
      <c r="G39" s="7" t="str">
        <f t="shared" si="7"/>
        <v>text</v>
      </c>
      <c r="H39" s="58"/>
      <c r="I39" s="23"/>
      <c r="J39" s="24"/>
      <c r="M39" s="4"/>
      <c r="N39" s="78"/>
      <c r="O39" s="78"/>
      <c r="P39" s="78" t="str">
        <f t="shared" si="8"/>
        <v>,shushoku_code13</v>
      </c>
      <c r="Q39" s="78" t="str">
        <f t="shared" si="9"/>
        <v>TEXT</v>
      </c>
      <c r="R39" s="78" t="str">
        <f t="shared" si="10"/>
        <v/>
      </c>
      <c r="S39" s="78" t="str">
        <f t="shared" si="11"/>
        <v/>
      </c>
      <c r="T39" s="78" t="str">
        <f t="shared" si="12"/>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milscm_2023_010.azn_202310_backup_mart_shikkan.shushoku_code13 IS '修飾語コード13';</v>
      </c>
    </row>
    <row r="40" spans="1:45" s="25" customFormat="1">
      <c r="A40" s="4"/>
      <c r="B40" s="21">
        <f t="shared" si="2"/>
        <v>28</v>
      </c>
      <c r="C40" s="13" t="s">
        <v>1139</v>
      </c>
      <c r="D40" s="13" t="s">
        <v>1140</v>
      </c>
      <c r="E40" s="7"/>
      <c r="F40" s="7" t="s">
        <v>1782</v>
      </c>
      <c r="G40" s="7" t="str">
        <f t="shared" si="7"/>
        <v>text</v>
      </c>
      <c r="H40" s="58"/>
      <c r="I40" s="23"/>
      <c r="J40" s="24"/>
      <c r="M40" s="4"/>
      <c r="N40" s="78"/>
      <c r="O40" s="78"/>
      <c r="P40" s="78" t="str">
        <f t="shared" si="8"/>
        <v>,shushoku_code14</v>
      </c>
      <c r="Q40" s="78" t="str">
        <f t="shared" si="9"/>
        <v>TEXT</v>
      </c>
      <c r="R40" s="78" t="str">
        <f t="shared" si="10"/>
        <v/>
      </c>
      <c r="S40" s="78" t="str">
        <f t="shared" si="11"/>
        <v/>
      </c>
      <c r="T40" s="78" t="str">
        <f t="shared" si="12"/>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milscm_2023_010.azn_202310_backup_mart_shikkan.shushoku_code14 IS '修飾語コード14';</v>
      </c>
    </row>
    <row r="41" spans="1:45" s="25" customFormat="1">
      <c r="A41" s="4"/>
      <c r="B41" s="21">
        <f t="shared" si="2"/>
        <v>29</v>
      </c>
      <c r="C41" s="13" t="s">
        <v>1141</v>
      </c>
      <c r="D41" s="13" t="s">
        <v>1142</v>
      </c>
      <c r="E41" s="7"/>
      <c r="F41" s="7" t="s">
        <v>1782</v>
      </c>
      <c r="G41" s="7" t="str">
        <f t="shared" si="3"/>
        <v>text</v>
      </c>
      <c r="H41" s="58"/>
      <c r="I41" s="23"/>
      <c r="J41" s="24"/>
      <c r="M41" s="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milscm_2023_010.azn_202310_backup_mart_shikkan.shushoku_code15 IS '修飾語コード15';</v>
      </c>
    </row>
    <row r="42" spans="1:45" s="25" customFormat="1">
      <c r="A42" s="4"/>
      <c r="B42" s="21">
        <f t="shared" si="2"/>
        <v>30</v>
      </c>
      <c r="C42" s="13" t="s">
        <v>1143</v>
      </c>
      <c r="D42" s="13" t="s">
        <v>1144</v>
      </c>
      <c r="E42" s="7"/>
      <c r="F42" s="7" t="s">
        <v>1782</v>
      </c>
      <c r="G42" s="7" t="str">
        <f t="shared" si="3"/>
        <v>text</v>
      </c>
      <c r="H42" s="58"/>
      <c r="I42" s="23"/>
      <c r="J42" s="24"/>
      <c r="M42" s="4"/>
      <c r="N42" s="78"/>
      <c r="O42" s="78"/>
      <c r="P42" s="78" t="str">
        <f t="shared" si="4"/>
        <v>,shushoku_code16</v>
      </c>
      <c r="Q42" s="78" t="str">
        <f t="shared" si="0"/>
        <v>TEXT</v>
      </c>
      <c r="R42" s="78" t="str">
        <f t="shared" si="1"/>
        <v/>
      </c>
      <c r="S42" s="78" t="str">
        <f t="shared" si="5"/>
        <v/>
      </c>
      <c r="T42" s="78" t="str">
        <f t="shared" si="6"/>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milscm_2023_010.azn_202310_backup_mart_shikkan.shushoku_code16 IS '修飾語コード16';</v>
      </c>
    </row>
    <row r="43" spans="1:45" s="25" customFormat="1">
      <c r="A43" s="4"/>
      <c r="B43" s="21">
        <f t="shared" si="2"/>
        <v>31</v>
      </c>
      <c r="C43" s="13" t="s">
        <v>1145</v>
      </c>
      <c r="D43" s="13" t="s">
        <v>1146</v>
      </c>
      <c r="E43" s="7"/>
      <c r="F43" s="7" t="s">
        <v>1782</v>
      </c>
      <c r="G43" s="7" t="str">
        <f t="shared" si="3"/>
        <v>text</v>
      </c>
      <c r="H43" s="58"/>
      <c r="I43" s="23"/>
      <c r="J43" s="24"/>
      <c r="M43" s="4"/>
      <c r="N43" s="78"/>
      <c r="O43" s="78"/>
      <c r="P43" s="78" t="str">
        <f t="shared" si="4"/>
        <v>,shushoku_code17</v>
      </c>
      <c r="Q43" s="78" t="str">
        <f t="shared" si="0"/>
        <v>TEXT</v>
      </c>
      <c r="R43" s="78" t="str">
        <f t="shared" si="1"/>
        <v/>
      </c>
      <c r="S43" s="78" t="str">
        <f t="shared" si="5"/>
        <v/>
      </c>
      <c r="T43" s="78" t="str">
        <f t="shared" si="6"/>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milscm_2023_010.azn_202310_backup_mart_shikkan.shushoku_code17 IS '修飾語コード17';</v>
      </c>
    </row>
    <row r="44" spans="1:45" s="25" customFormat="1">
      <c r="A44" s="4"/>
      <c r="B44" s="21">
        <f t="shared" si="2"/>
        <v>32</v>
      </c>
      <c r="C44" s="13" t="s">
        <v>1147</v>
      </c>
      <c r="D44" s="13" t="s">
        <v>1148</v>
      </c>
      <c r="E44" s="7"/>
      <c r="F44" s="7" t="s">
        <v>1782</v>
      </c>
      <c r="G44" s="7" t="str">
        <f t="shared" si="3"/>
        <v>text</v>
      </c>
      <c r="H44" s="58"/>
      <c r="I44" s="23"/>
      <c r="J44" s="24"/>
      <c r="M44" s="4"/>
      <c r="N44" s="78"/>
      <c r="O44" s="78"/>
      <c r="P44" s="78" t="str">
        <f t="shared" si="4"/>
        <v>,shushoku_code18</v>
      </c>
      <c r="Q44" s="78" t="str">
        <f t="shared" si="0"/>
        <v>TEXT</v>
      </c>
      <c r="R44" s="78" t="str">
        <f t="shared" si="1"/>
        <v/>
      </c>
      <c r="S44" s="78" t="str">
        <f t="shared" si="5"/>
        <v/>
      </c>
      <c r="T44" s="78" t="str">
        <f t="shared" si="6"/>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milscm_2023_010.azn_202310_backup_mart_shikkan.shushoku_code18 IS '修飾語コード18';</v>
      </c>
    </row>
    <row r="45" spans="1:45" s="25" customFormat="1">
      <c r="A45" s="4"/>
      <c r="B45" s="21">
        <f t="shared" si="2"/>
        <v>33</v>
      </c>
      <c r="C45" s="13" t="s">
        <v>1149</v>
      </c>
      <c r="D45" s="13" t="s">
        <v>1150</v>
      </c>
      <c r="E45" s="7"/>
      <c r="F45" s="7" t="s">
        <v>1782</v>
      </c>
      <c r="G45" s="7" t="str">
        <f t="shared" si="3"/>
        <v>text</v>
      </c>
      <c r="H45" s="58"/>
      <c r="I45" s="23"/>
      <c r="J45" s="24"/>
      <c r="M45" s="4"/>
      <c r="N45" s="78"/>
      <c r="O45" s="78"/>
      <c r="P45" s="78" t="str">
        <f t="shared" si="4"/>
        <v>,shushoku_code19</v>
      </c>
      <c r="Q45" s="78" t="str">
        <f t="shared" si="0"/>
        <v>TEXT</v>
      </c>
      <c r="R45" s="78" t="str">
        <f t="shared" si="1"/>
        <v/>
      </c>
      <c r="S45" s="78" t="str">
        <f t="shared" si="5"/>
        <v/>
      </c>
      <c r="T45" s="78" t="str">
        <f t="shared" si="6"/>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milscm_2023_010.azn_202310_backup_mart_shikkan.shushoku_code19 IS '修飾語コード19';</v>
      </c>
    </row>
    <row r="46" spans="1:45" s="25" customFormat="1">
      <c r="A46" s="4"/>
      <c r="B46" s="21">
        <f t="shared" si="2"/>
        <v>34</v>
      </c>
      <c r="C46" s="13" t="s">
        <v>1151</v>
      </c>
      <c r="D46" s="13" t="s">
        <v>1152</v>
      </c>
      <c r="E46" s="7"/>
      <c r="F46" s="7" t="s">
        <v>1782</v>
      </c>
      <c r="G46" s="7" t="str">
        <f t="shared" si="3"/>
        <v>text</v>
      </c>
      <c r="H46" s="58"/>
      <c r="I46" s="23"/>
      <c r="J46" s="24"/>
      <c r="M46" s="4"/>
      <c r="N46" s="78"/>
      <c r="O46" s="78"/>
      <c r="P46" s="78" t="str">
        <f t="shared" si="4"/>
        <v>,shushoku_code20</v>
      </c>
      <c r="Q46" s="78" t="str">
        <f t="shared" si="0"/>
        <v>TEXT</v>
      </c>
      <c r="R46" s="78" t="str">
        <f t="shared" si="1"/>
        <v/>
      </c>
      <c r="S46" s="78" t="str">
        <f t="shared" si="5"/>
        <v/>
      </c>
      <c r="T46" s="78" t="str">
        <f t="shared" si="6"/>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milscm_2023_010.azn_202310_backup_mart_shikkan.shushoku_code20 IS '修飾語コード20';</v>
      </c>
    </row>
    <row r="47" spans="1:45" s="25" customFormat="1">
      <c r="A47" s="4"/>
      <c r="B47" s="21">
        <f t="shared" si="2"/>
        <v>35</v>
      </c>
      <c r="C47" s="13" t="s">
        <v>1153</v>
      </c>
      <c r="D47" s="13" t="s">
        <v>1154</v>
      </c>
      <c r="E47" s="7"/>
      <c r="F47" s="7" t="s">
        <v>1782</v>
      </c>
      <c r="G47" s="7" t="str">
        <f t="shared" si="3"/>
        <v>text</v>
      </c>
      <c r="H47" s="58"/>
      <c r="I47" s="23"/>
      <c r="J47" s="24"/>
      <c r="M47" s="4"/>
      <c r="N47" s="78"/>
      <c r="O47" s="78"/>
      <c r="P47" s="78" t="str">
        <f t="shared" si="4"/>
        <v>,shobyo_name</v>
      </c>
      <c r="Q47" s="78" t="str">
        <f t="shared" si="0"/>
        <v>TEXT</v>
      </c>
      <c r="R47" s="78" t="str">
        <f t="shared" si="1"/>
        <v/>
      </c>
      <c r="S47" s="78" t="str">
        <f t="shared" si="5"/>
        <v/>
      </c>
      <c r="T47" s="78" t="str">
        <f t="shared" si="6"/>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milscm_2023_010.azn_202310_backup_mart_shikkan.shobyo_name IS '傷病名称';</v>
      </c>
    </row>
    <row r="48" spans="1:45" s="25" customFormat="1">
      <c r="A48" s="4"/>
      <c r="B48" s="21">
        <f t="shared" si="2"/>
        <v>36</v>
      </c>
      <c r="C48" s="13" t="s">
        <v>1155</v>
      </c>
      <c r="D48" s="13" t="s">
        <v>1156</v>
      </c>
      <c r="E48" s="7"/>
      <c r="F48" s="7" t="s">
        <v>1782</v>
      </c>
      <c r="G48" s="7" t="str">
        <f t="shared" si="3"/>
        <v>text</v>
      </c>
      <c r="H48" s="58"/>
      <c r="I48" s="23"/>
      <c r="J48" s="24"/>
      <c r="M48" s="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milscm_2023_010.azn_202310_backup_mart_shikkan.main_shobyo_code IS '主傷病';</v>
      </c>
    </row>
    <row r="49" spans="1:52" s="25" customFormat="1">
      <c r="A49" s="4"/>
      <c r="B49" s="21">
        <f t="shared" si="2"/>
        <v>37</v>
      </c>
      <c r="C49" s="13" t="s">
        <v>666</v>
      </c>
      <c r="D49" s="13" t="s">
        <v>874</v>
      </c>
      <c r="E49" s="7"/>
      <c r="F49" s="7" t="s">
        <v>1782</v>
      </c>
      <c r="G49" s="7" t="str">
        <f t="shared" si="3"/>
        <v>text</v>
      </c>
      <c r="H49" s="58"/>
      <c r="I49" s="23"/>
      <c r="J49" s="24"/>
      <c r="M49" s="4"/>
      <c r="N49" s="78"/>
      <c r="O49" s="78"/>
      <c r="P49" s="78" t="str">
        <f t="shared" si="4"/>
        <v>,icd10_code</v>
      </c>
      <c r="Q49" s="78" t="str">
        <f t="shared" si="0"/>
        <v>TEXT</v>
      </c>
      <c r="R49" s="78" t="str">
        <f t="shared" si="1"/>
        <v/>
      </c>
      <c r="S49" s="78" t="str">
        <f t="shared" si="5"/>
        <v/>
      </c>
      <c r="T49" s="78" t="str">
        <f t="shared" si="6"/>
        <v>-- ICD10コード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milscm_2023_010.azn_202310_backup_mart_shikkan.icd10_code IS 'ICD10コード';</v>
      </c>
    </row>
    <row r="50" spans="1:52" s="25" customFormat="1">
      <c r="A50" s="4"/>
      <c r="B50" s="21">
        <f t="shared" si="2"/>
        <v>38</v>
      </c>
      <c r="C50" s="13" t="s">
        <v>1268</v>
      </c>
      <c r="D50" s="13" t="s">
        <v>1269</v>
      </c>
      <c r="E50" s="7"/>
      <c r="F50" s="7" t="s">
        <v>1782</v>
      </c>
      <c r="G50" s="7" t="str">
        <f t="shared" si="3"/>
        <v>text</v>
      </c>
      <c r="H50" s="58"/>
      <c r="I50" s="23"/>
      <c r="J50" s="24"/>
      <c r="M50" s="4"/>
      <c r="N50" s="78"/>
      <c r="O50" s="78"/>
      <c r="P50" s="78" t="str">
        <f t="shared" si="4"/>
        <v>,shobyo_kubun</v>
      </c>
      <c r="Q50" s="78" t="str">
        <f t="shared" si="0"/>
        <v>TEXT</v>
      </c>
      <c r="R50" s="78" t="str">
        <f t="shared" si="1"/>
        <v/>
      </c>
      <c r="S50" s="78" t="str">
        <f t="shared" si="5"/>
        <v/>
      </c>
      <c r="T50" s="78" t="str">
        <f t="shared" si="6"/>
        <v>-- 傷病名区分</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milscm_2023_010.azn_202310_backup_mart_shikkan.shobyo_kubun IS '傷病名区分';</v>
      </c>
    </row>
    <row r="51" spans="1:52" s="25" customFormat="1">
      <c r="A51" s="4"/>
      <c r="B51" s="21">
        <f t="shared" si="2"/>
        <v>39</v>
      </c>
      <c r="C51" s="13" t="s">
        <v>1255</v>
      </c>
      <c r="D51" s="13" t="s">
        <v>1256</v>
      </c>
      <c r="E51" s="7"/>
      <c r="F51" s="7" t="s">
        <v>1825</v>
      </c>
      <c r="G51" s="7" t="str">
        <f t="shared" si="3"/>
        <v>text</v>
      </c>
      <c r="H51" s="58"/>
      <c r="I51" s="23"/>
      <c r="J51" s="24" t="s">
        <v>1839</v>
      </c>
      <c r="M51" s="4"/>
      <c r="N51" s="78"/>
      <c r="O51" s="78"/>
      <c r="P51" s="78" t="str">
        <f t="shared" si="4"/>
        <v>,konnyuin_ymd</v>
      </c>
      <c r="Q51" s="78" t="str">
        <f t="shared" si="0"/>
        <v>TEXT</v>
      </c>
      <c r="R51" s="78" t="str">
        <f t="shared" si="1"/>
        <v/>
      </c>
      <c r="S51" s="78" t="str">
        <f t="shared" si="5"/>
        <v/>
      </c>
      <c r="T51" s="78" t="str">
        <f t="shared" si="6"/>
        <v xml:space="preserve">-- 今回入院年月日 </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milscm_2023_010.azn_202310_backup_mart_shikkan.konnyuin_ymd IS '今回入院年月日 ';</v>
      </c>
    </row>
    <row r="52" spans="1:52" s="25" customFormat="1">
      <c r="A52" s="4"/>
      <c r="B52" s="21">
        <f t="shared" si="2"/>
        <v>40</v>
      </c>
      <c r="C52" s="13" t="s">
        <v>1257</v>
      </c>
      <c r="D52" s="13" t="s">
        <v>1258</v>
      </c>
      <c r="E52" s="7"/>
      <c r="F52" s="7" t="s">
        <v>1825</v>
      </c>
      <c r="G52" s="7" t="str">
        <f t="shared" si="3"/>
        <v>text</v>
      </c>
      <c r="H52" s="58"/>
      <c r="I52" s="23"/>
      <c r="J52" s="24" t="s">
        <v>1839</v>
      </c>
      <c r="M52" s="4"/>
      <c r="N52" s="78"/>
      <c r="O52" s="78"/>
      <c r="P52" s="78" t="str">
        <f t="shared" si="4"/>
        <v>,kontaiin_ymd</v>
      </c>
      <c r="Q52" s="78" t="str">
        <f t="shared" si="0"/>
        <v>TEXT</v>
      </c>
      <c r="R52" s="78" t="str">
        <f t="shared" si="1"/>
        <v/>
      </c>
      <c r="S52" s="78" t="str">
        <f t="shared" si="5"/>
        <v/>
      </c>
      <c r="T52" s="78" t="str">
        <f t="shared" si="6"/>
        <v>-- 今回退院年月日</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milscm_2023_010.azn_202310_backup_mart_shikkan.kontaiin_ymd IS '今回退院年月日';</v>
      </c>
    </row>
    <row r="53" spans="1:52" s="25" customFormat="1">
      <c r="A53" s="4"/>
      <c r="B53" s="21">
        <f t="shared" si="2"/>
        <v>41</v>
      </c>
      <c r="C53" s="13" t="s">
        <v>1259</v>
      </c>
      <c r="D53" s="13" t="s">
        <v>1260</v>
      </c>
      <c r="E53" s="7"/>
      <c r="F53" s="7" t="s">
        <v>1825</v>
      </c>
      <c r="G53" s="7" t="str">
        <f t="shared" si="3"/>
        <v>text</v>
      </c>
      <c r="H53" s="58"/>
      <c r="I53" s="23"/>
      <c r="J53" s="24"/>
      <c r="M53" s="4"/>
      <c r="N53" s="78"/>
      <c r="O53" s="78"/>
      <c r="P53" s="78" t="str">
        <f t="shared" si="4"/>
        <v>,dpc_tenki_code</v>
      </c>
      <c r="Q53" s="78" t="str">
        <f t="shared" si="0"/>
        <v>TEXT</v>
      </c>
      <c r="R53" s="78" t="str">
        <f t="shared" si="1"/>
        <v/>
      </c>
      <c r="S53" s="78" t="str">
        <f t="shared" si="5"/>
        <v/>
      </c>
      <c r="T53" s="78" t="str">
        <f t="shared" si="6"/>
        <v>-- DPC転帰区分</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milscm_2023_010.azn_202310_backup_mart_shikkan.dpc_tenki_code IS 'DPC転帰区分';</v>
      </c>
    </row>
    <row r="54" spans="1:52" s="25" customFormat="1">
      <c r="A54" s="4"/>
      <c r="B54" s="21">
        <f t="shared" si="2"/>
        <v>42</v>
      </c>
      <c r="C54" s="13" t="s">
        <v>1261</v>
      </c>
      <c r="D54" s="13" t="s">
        <v>1262</v>
      </c>
      <c r="E54" s="7"/>
      <c r="F54" s="7" t="s">
        <v>1782</v>
      </c>
      <c r="G54" s="7" t="str">
        <f t="shared" si="3"/>
        <v>text</v>
      </c>
      <c r="H54" s="58"/>
      <c r="I54" s="23"/>
      <c r="J54" s="24"/>
      <c r="M54" s="4"/>
      <c r="N54" s="78"/>
      <c r="O54" s="78"/>
      <c r="P54" s="78" t="str">
        <f t="shared" si="4"/>
        <v>,death_cause</v>
      </c>
      <c r="Q54" s="78" t="str">
        <f t="shared" si="0"/>
        <v>TEXT</v>
      </c>
      <c r="R54" s="78" t="str">
        <f t="shared" si="1"/>
        <v/>
      </c>
      <c r="S54" s="78" t="str">
        <f t="shared" si="5"/>
        <v/>
      </c>
      <c r="T54" s="78" t="str">
        <f t="shared" si="6"/>
        <v>-- 死因</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milscm_2023_010.azn_202310_backup_mart_shikkan.death_cause IS '死因';</v>
      </c>
    </row>
    <row r="55" spans="1:52" s="25" customFormat="1">
      <c r="A55" s="4"/>
      <c r="B55" s="21">
        <f t="shared" si="2"/>
        <v>43</v>
      </c>
      <c r="C55" s="13" t="s">
        <v>1826</v>
      </c>
      <c r="D55" s="13" t="s">
        <v>986</v>
      </c>
      <c r="E55" s="7"/>
      <c r="F55" s="7" t="s">
        <v>1782</v>
      </c>
      <c r="G55" s="7" t="str">
        <f t="shared" si="3"/>
        <v>text</v>
      </c>
      <c r="H55" s="58"/>
      <c r="I55" s="23"/>
      <c r="J55" s="24"/>
      <c r="M55" s="4"/>
      <c r="N55" s="78"/>
      <c r="O55" s="78"/>
      <c r="P55" s="78" t="str">
        <f t="shared" si="4"/>
        <v>,receipt_type</v>
      </c>
      <c r="Q55" s="78" t="str">
        <f t="shared" si="0"/>
        <v>TEXT</v>
      </c>
      <c r="R55" s="78" t="str">
        <f t="shared" si="1"/>
        <v/>
      </c>
      <c r="S55" s="78" t="str">
        <f t="shared" si="5"/>
        <v/>
      </c>
      <c r="T55" s="78" t="str">
        <f t="shared" si="6"/>
        <v>-- レセプト種別</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milscm_2023_010.azn_202310_backup_mart_shikkan.receipt_type IS 'レセプト種別';</v>
      </c>
    </row>
    <row r="56" spans="1:52" s="25" customFormat="1" ht="56.25">
      <c r="A56" s="4"/>
      <c r="B56" s="21">
        <f t="shared" si="2"/>
        <v>44</v>
      </c>
      <c r="C56" s="13" t="s">
        <v>1798</v>
      </c>
      <c r="D56" s="13" t="s">
        <v>244</v>
      </c>
      <c r="E56" s="7"/>
      <c r="F56" s="7" t="s">
        <v>1782</v>
      </c>
      <c r="G56" s="7" t="str">
        <f t="shared" si="3"/>
        <v>text</v>
      </c>
      <c r="H56" s="58"/>
      <c r="I56" s="23"/>
      <c r="J56" s="24" t="s">
        <v>1841</v>
      </c>
      <c r="M56" s="4"/>
      <c r="N56" s="78"/>
      <c r="O56" s="78"/>
      <c r="P56" s="78" t="str">
        <f t="shared" si="4"/>
        <v>,nyugai_kubun</v>
      </c>
      <c r="Q56" s="78" t="str">
        <f t="shared" si="0"/>
        <v>TEXT</v>
      </c>
      <c r="R56" s="78" t="str">
        <f t="shared" si="1"/>
        <v/>
      </c>
      <c r="S56" s="78" t="str">
        <f t="shared" si="5"/>
        <v/>
      </c>
      <c r="T56" s="78" t="str">
        <f t="shared" si="6"/>
        <v>-- 入外区分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milscm_2023_010.azn_202310_backup_mart_shikkan.nyugai_kubun IS '入外区分';</v>
      </c>
    </row>
    <row r="57" spans="1:52" s="25" customFormat="1" ht="75">
      <c r="A57" s="4"/>
      <c r="B57" s="21">
        <f t="shared" si="2"/>
        <v>45</v>
      </c>
      <c r="C57" s="13" t="s">
        <v>1827</v>
      </c>
      <c r="D57" s="13" t="s">
        <v>1828</v>
      </c>
      <c r="E57" s="7"/>
      <c r="F57" s="7" t="s">
        <v>1782</v>
      </c>
      <c r="G57" s="7" t="str">
        <f t="shared" si="3"/>
        <v>text</v>
      </c>
      <c r="H57" s="58"/>
      <c r="I57" s="23"/>
      <c r="J57" s="24" t="s">
        <v>1842</v>
      </c>
      <c r="M57" s="4"/>
      <c r="N57" s="78"/>
      <c r="O57" s="78"/>
      <c r="P57" s="78" t="str">
        <f t="shared" si="4"/>
        <v>,utagai_f</v>
      </c>
      <c r="Q57" s="78" t="str">
        <f t="shared" si="0"/>
        <v>TEXT</v>
      </c>
      <c r="R57" s="78" t="str">
        <f t="shared" si="1"/>
        <v/>
      </c>
      <c r="S57" s="78" t="str">
        <f t="shared" si="5"/>
        <v/>
      </c>
      <c r="T57" s="78" t="str">
        <f t="shared" si="6"/>
        <v>-- 疑いフラグ</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milscm_2023_010.azn_202310_backup_mart_shikkan.utagai_f IS '疑いフラグ';</v>
      </c>
    </row>
    <row r="58" spans="1:52" s="25" customFormat="1">
      <c r="A58" s="4"/>
      <c r="B58" s="21">
        <f t="shared" si="2"/>
        <v>46</v>
      </c>
      <c r="C58" s="13" t="s">
        <v>1157</v>
      </c>
      <c r="D58" s="13" t="s">
        <v>1158</v>
      </c>
      <c r="E58" s="7"/>
      <c r="F58" s="7" t="s">
        <v>1782</v>
      </c>
      <c r="G58" s="7" t="str">
        <f t="shared" si="3"/>
        <v>text</v>
      </c>
      <c r="H58" s="58"/>
      <c r="I58" s="23"/>
      <c r="J58" s="24"/>
      <c r="M58" s="4"/>
      <c r="N58" s="78"/>
      <c r="O58" s="78"/>
      <c r="P58" s="78" t="str">
        <f t="shared" si="4"/>
        <v>,hosoku_comment</v>
      </c>
      <c r="Q58" s="78" t="str">
        <f t="shared" si="0"/>
        <v>TEXT</v>
      </c>
      <c r="R58" s="78" t="str">
        <f t="shared" si="1"/>
        <v/>
      </c>
      <c r="S58" s="78" t="str">
        <f t="shared" si="5"/>
        <v/>
      </c>
      <c r="T58" s="78" t="str">
        <f t="shared" si="6"/>
        <v>-- 補足コメント</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milscm_2023_010.azn_202310_backup_mart_shikkan.hosoku_comment IS '補足コメント';</v>
      </c>
    </row>
    <row r="59" spans="1:52" s="25" customFormat="1" ht="19.5" thickBot="1">
      <c r="A59" s="4"/>
      <c r="B59" s="27">
        <f>ROW()-12</f>
        <v>47</v>
      </c>
      <c r="C59" s="57" t="s">
        <v>1799</v>
      </c>
      <c r="D59" s="57" t="s">
        <v>1800</v>
      </c>
      <c r="E59" s="56"/>
      <c r="F59" s="56" t="s">
        <v>205</v>
      </c>
      <c r="G59" s="56" t="str">
        <f t="shared" si="3"/>
        <v>integer</v>
      </c>
      <c r="H59" s="59"/>
      <c r="I59" s="60"/>
      <c r="J59" s="64" t="s">
        <v>1806</v>
      </c>
      <c r="N59" s="78"/>
      <c r="O59" s="78"/>
      <c r="P59" s="78" t="str">
        <f t="shared" si="4"/>
        <v>,seq_no</v>
      </c>
      <c r="Q59" s="78" t="str">
        <f t="shared" si="0"/>
        <v>INTEGER</v>
      </c>
      <c r="R59" s="78" t="str">
        <f t="shared" si="1"/>
        <v/>
      </c>
      <c r="S59" s="78" t="str">
        <f t="shared" si="5"/>
        <v/>
      </c>
      <c r="T59" s="78" t="str">
        <f t="shared" si="6"/>
        <v>-- シーケンス番号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milscm_2023_010.azn_202310_backup_mart_shikkan.seq_no IS 'シーケンス番号';</v>
      </c>
    </row>
    <row r="60" spans="1:52">
      <c r="L60" s="25"/>
      <c r="M60" s="25"/>
      <c r="N60" s="78" t="s">
        <v>142</v>
      </c>
      <c r="O60" s="78"/>
      <c r="P60" s="78"/>
      <c r="Q60" s="78"/>
      <c r="R60" s="78"/>
      <c r="S60" s="78"/>
      <c r="T60" s="78"/>
      <c r="V60" s="25"/>
      <c r="W60" s="25"/>
      <c r="X60" s="25"/>
      <c r="Y60" s="25"/>
      <c r="Z60" s="25"/>
      <c r="AJ60" s="78"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A00-000000000000}"/>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7" t="s">
        <v>110</v>
      </c>
      <c r="C1" s="218"/>
      <c r="D1" s="221" t="s">
        <v>111</v>
      </c>
      <c r="E1" s="222"/>
      <c r="F1" s="222"/>
      <c r="G1" s="213"/>
      <c r="H1" s="221" t="s">
        <v>112</v>
      </c>
      <c r="I1" s="213"/>
      <c r="J1" s="15" t="s">
        <v>113</v>
      </c>
    </row>
    <row r="2" spans="1:52" ht="19.5" thickBot="1">
      <c r="B2" s="219"/>
      <c r="C2" s="220"/>
      <c r="D2" s="223" t="s">
        <v>114</v>
      </c>
      <c r="E2" s="224"/>
      <c r="F2" s="224"/>
      <c r="G2" s="225"/>
      <c r="H2" s="226"/>
      <c r="I2" s="227"/>
      <c r="J2" s="17"/>
    </row>
    <row r="3" spans="1:52" ht="19.5" thickBot="1">
      <c r="B3" s="5"/>
      <c r="C3" s="5"/>
      <c r="D3" s="5"/>
      <c r="E3" s="5"/>
      <c r="F3" s="5"/>
      <c r="G3" s="5"/>
      <c r="H3" s="5"/>
      <c r="I3" s="5"/>
      <c r="J3" s="18"/>
    </row>
    <row r="4" spans="1:52">
      <c r="B4" s="212" t="s">
        <v>3754</v>
      </c>
      <c r="C4" s="213"/>
      <c r="D4" s="214" t="str">
        <f>VLOOKUP(D7,エンティティ一覧!A1:'エンティティ一覧'!AM10142,2,FALSE)</f>
        <v>01</v>
      </c>
      <c r="E4" s="215"/>
      <c r="F4" s="215"/>
      <c r="G4" s="215"/>
      <c r="H4" s="215"/>
      <c r="I4" s="215"/>
      <c r="J4" s="216"/>
    </row>
    <row r="5" spans="1:52">
      <c r="B5" s="228" t="s">
        <v>3755</v>
      </c>
      <c r="C5" s="229"/>
      <c r="D5" s="238" t="str">
        <f>VLOOKUP(D7,エンティティ一覧!A1:'エンティティ一覧'!AM10142,7,FALSE)</f>
        <v>backup</v>
      </c>
      <c r="E5" s="239"/>
      <c r="F5" s="239"/>
      <c r="G5" s="239"/>
      <c r="H5" s="239"/>
      <c r="I5" s="239"/>
      <c r="J5" s="240"/>
    </row>
    <row r="6" spans="1:52">
      <c r="B6" s="228" t="s">
        <v>3756</v>
      </c>
      <c r="C6" s="229"/>
      <c r="D6" s="238" t="str">
        <f>VLOOKUP(D7,エンティティ一覧!A1:'エンティティ一覧'!AM10142,15,FALSE)</f>
        <v>ENT_01_A1-05</v>
      </c>
      <c r="E6" s="239"/>
      <c r="F6" s="239"/>
      <c r="G6" s="239"/>
      <c r="H6" s="239"/>
      <c r="I6" s="239"/>
      <c r="J6" s="240"/>
    </row>
    <row r="7" spans="1:52">
      <c r="B7" s="228" t="s">
        <v>115</v>
      </c>
      <c r="C7" s="229"/>
      <c r="D7" s="230" t="s">
        <v>1843</v>
      </c>
      <c r="E7" s="231"/>
      <c r="F7" s="231"/>
      <c r="G7" s="231"/>
      <c r="H7" s="231"/>
      <c r="I7" s="231"/>
      <c r="J7" s="232"/>
    </row>
    <row r="8" spans="1:52">
      <c r="B8" s="228" t="s">
        <v>116</v>
      </c>
      <c r="C8" s="229"/>
      <c r="D8" s="230" t="str">
        <f>エンティティ一覧!AE2&amp;"_"&amp;D5&amp;"_mart_shikkan_department"</f>
        <v>azn_202310_backup_mart_shikkan_department</v>
      </c>
      <c r="E8" s="231"/>
      <c r="F8" s="231"/>
      <c r="G8" s="231"/>
      <c r="H8" s="231"/>
      <c r="I8" s="231"/>
      <c r="J8" s="232"/>
    </row>
    <row r="9" spans="1:52" ht="19.5" customHeight="1" thickBot="1">
      <c r="B9" s="233" t="s">
        <v>117</v>
      </c>
      <c r="C9" s="234"/>
      <c r="D9" s="235" t="str">
        <f>SUBSTITUTE(D7,"バックアップ_","")&amp;"テーブルから組入れ条件の第一条件で絞り込んだ結果を格納するテーブル"</f>
        <v>疾患診療科データテーブルから組入れ条件の第一条件で絞り込んだ結果を格納するテーブル</v>
      </c>
      <c r="E9" s="236"/>
      <c r="F9" s="236"/>
      <c r="G9" s="236"/>
      <c r="H9" s="236"/>
      <c r="I9" s="236"/>
      <c r="J9" s="237"/>
    </row>
    <row r="10" spans="1:52">
      <c r="B10" s="19"/>
      <c r="C10" s="19"/>
      <c r="D10" s="5"/>
      <c r="E10" s="5"/>
      <c r="F10" s="5"/>
      <c r="G10" s="5"/>
      <c r="H10" s="5"/>
      <c r="I10" s="5"/>
      <c r="J10" s="18"/>
      <c r="N10" s="78" t="str">
        <f>"--DROP TABLE  "&amp;エンティティ一覧!$O$2&amp;"."&amp;D$8&amp;";"</f>
        <v>--DROP TABLE  milscm_2023_010.azn_202310_backup_mart_shikkan_department;</v>
      </c>
      <c r="O10" s="78"/>
      <c r="P10" s="78"/>
      <c r="Q10" s="78"/>
      <c r="R10" s="78"/>
      <c r="S10" s="78"/>
      <c r="T10" s="78"/>
      <c r="AJ10" s="78" t="str">
        <f>"ALTER TABLE ONLY "&amp;エンティティ一覧!$O$2&amp;"."&amp;D$8</f>
        <v>ALTER TABLE ONLY milscm_2023_010.azn_202310_backup_mart_shikkan_department</v>
      </c>
      <c r="AS10" s="78" t="str">
        <f>"ALTER TABLE "&amp;エンティティ一覧!$O$2&amp;"."&amp;D$8&amp;" OWNER TO pgmisgrp1;"</f>
        <v>ALTER TABLE milscm_2023_010.azn_202310_backup_mart_shikkan_department OWNER TO pgmisgrp1;</v>
      </c>
    </row>
    <row r="11" spans="1:52" ht="19.5" thickBot="1">
      <c r="B11" s="20" t="s">
        <v>118</v>
      </c>
      <c r="C11" s="19"/>
      <c r="D11" s="5"/>
      <c r="E11" s="5"/>
      <c r="F11" s="5"/>
      <c r="G11" s="5"/>
      <c r="H11" s="5"/>
      <c r="I11" s="5"/>
      <c r="J11" s="18"/>
      <c r="N11" s="78" t="str">
        <f>"CREATE TABLE  "&amp;エンティティ一覧!$O$2&amp;"."&amp;D$8</f>
        <v>CREATE TABLE  milscm_2023_010.azn_202310_backup_mart_shikkan_department</v>
      </c>
      <c r="O11" s="78"/>
      <c r="P11" s="78"/>
      <c r="Q11" s="78"/>
      <c r="R11" s="78"/>
      <c r="S11" s="78"/>
      <c r="T11" s="78"/>
      <c r="AJ11" s="78" t="str">
        <f>"ADD CONSTRAINT "&amp;D$8&amp;"_pkey PRIMARY KEY"</f>
        <v>ADD CONSTRAINT azn_202310_backup_mart_shikkan_department_pkey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milscm_2023_010.azn_202310_backup_mart_shikkan_department IS 'バックアップ_疾患診療科データ';</v>
      </c>
    </row>
    <row r="13" spans="1:52" s="25" customFormat="1">
      <c r="A13" s="4"/>
      <c r="B13" s="21">
        <f>ROW()-12</f>
        <v>1</v>
      </c>
      <c r="C13" s="6" t="s">
        <v>1844</v>
      </c>
      <c r="D13" s="6" t="s">
        <v>1845</v>
      </c>
      <c r="E13" s="8" t="s">
        <v>127</v>
      </c>
      <c r="F13" s="8" t="s">
        <v>205</v>
      </c>
      <c r="G13" s="7" t="str">
        <f>IF(F13="フラグ","boolean",IF(F13="文字列","text",IF(F13="整数","integer",IF(F13="実数","numeric",""))))</f>
        <v>integer</v>
      </c>
      <c r="H13" s="9"/>
      <c r="I13" s="10" t="s">
        <v>127</v>
      </c>
      <c r="J13" s="11" t="s">
        <v>1848</v>
      </c>
      <c r="M13" s="4"/>
      <c r="N13" s="78"/>
      <c r="O13" s="78"/>
      <c r="P13" s="78" t="str">
        <f>IF(B13&lt;&gt;1,","&amp;D13,D13)</f>
        <v>parent_seq_no</v>
      </c>
      <c r="Q13" s="78" t="str">
        <f t="shared" ref="Q13:Q15" si="0">UPPER(G13)</f>
        <v>INTEGER</v>
      </c>
      <c r="R13" s="78" t="str">
        <f t="shared" ref="R13:R15" si="1">IF(H13&lt;&gt;"","default "&amp;IF(G13="text","'"&amp;H13&amp;"'",H13),"")</f>
        <v/>
      </c>
      <c r="S13" s="78" t="str">
        <f>IF(I13="○","NOT NULL","")</f>
        <v>NOT NULL</v>
      </c>
      <c r="T13" s="78" t="str">
        <f>"-- "&amp;C13</f>
        <v>-- 親シーケンス番号</v>
      </c>
      <c r="U13" s="4"/>
      <c r="AA13" s="4"/>
      <c r="AB13" s="4"/>
      <c r="AC13" s="4"/>
      <c r="AD13" s="4"/>
      <c r="AE13" s="4"/>
      <c r="AF13" s="4"/>
      <c r="AG13" s="4"/>
      <c r="AH13" s="4"/>
      <c r="AI13" s="4"/>
      <c r="AJ13" s="78" t="str">
        <f>IF(E13="○",IF(COUNTA(E$13:E13)=1,"",",")&amp;D13,"")</f>
        <v>parent_seq_no</v>
      </c>
      <c r="AK13" s="4"/>
      <c r="AL13" s="4"/>
      <c r="AM13" s="4"/>
      <c r="AN13" s="4"/>
      <c r="AO13" s="4"/>
      <c r="AP13" s="4"/>
      <c r="AQ13" s="4"/>
      <c r="AR13" s="4"/>
      <c r="AS13" s="78" t="str">
        <f>"COMMENT ON COLUMN "&amp;エンティティ一覧!$O$2&amp;"."&amp;D$8&amp;"."&amp;D13&amp;" IS '"&amp;C13&amp;"';"</f>
        <v>COMMENT ON COLUMN milscm_2023_010.azn_202310_backup_mart_shikkan_department.parent_seq_no IS '親シーケンス番号';</v>
      </c>
    </row>
    <row r="14" spans="1:52" s="25" customFormat="1">
      <c r="A14" s="4"/>
      <c r="B14" s="21">
        <f t="shared" ref="B14" si="2">ROW()-12</f>
        <v>2</v>
      </c>
      <c r="C14" s="6" t="s">
        <v>1846</v>
      </c>
      <c r="D14" s="6" t="s">
        <v>1727</v>
      </c>
      <c r="E14" s="8"/>
      <c r="F14" s="7" t="s">
        <v>1782</v>
      </c>
      <c r="G14" s="7" t="str">
        <f t="shared" ref="G14:G15" si="3">IF(F14="フラグ","boolean",IF(F14="文字列","text",IF(F14="整数","integer",IF(F14="実数","numeric",""))))</f>
        <v>text</v>
      </c>
      <c r="H14" s="26"/>
      <c r="I14" s="10"/>
      <c r="J14" s="11" t="s">
        <v>1849</v>
      </c>
      <c r="M14" s="4"/>
      <c r="N14" s="78"/>
      <c r="O14" s="78"/>
      <c r="P14" s="78" t="str">
        <f t="shared" ref="P14:P15" si="4">IF(B14&lt;&gt;1,","&amp;D14,D14)</f>
        <v>,department_name</v>
      </c>
      <c r="Q14" s="78" t="str">
        <f t="shared" si="0"/>
        <v>TEXT</v>
      </c>
      <c r="R14" s="78" t="str">
        <f t="shared" si="1"/>
        <v/>
      </c>
      <c r="S14" s="78" t="str">
        <f>IF(I14="○","NOT NULL","")</f>
        <v/>
      </c>
      <c r="T14" s="78" t="str">
        <f>"-- "&amp;C14</f>
        <v>-- 診療科名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milscm_2023_010.azn_202310_backup_mart_shikkan_department.department_name IS '診療科名';</v>
      </c>
    </row>
    <row r="15" spans="1:52" s="25" customFormat="1" ht="57" thickBot="1">
      <c r="A15" s="4"/>
      <c r="B15" s="27">
        <f>ROW()-12</f>
        <v>3</v>
      </c>
      <c r="C15" s="57" t="s">
        <v>1847</v>
      </c>
      <c r="D15" s="57" t="s">
        <v>135</v>
      </c>
      <c r="E15" s="56" t="s">
        <v>127</v>
      </c>
      <c r="F15" s="56" t="s">
        <v>1782</v>
      </c>
      <c r="G15" s="56" t="str">
        <f t="shared" si="3"/>
        <v>text</v>
      </c>
      <c r="H15" s="59"/>
      <c r="I15" s="60"/>
      <c r="J15" s="64" t="s">
        <v>1850</v>
      </c>
      <c r="N15" s="78"/>
      <c r="O15" s="78"/>
      <c r="P15" s="78" t="str">
        <f t="shared" si="4"/>
        <v>,department_kubun</v>
      </c>
      <c r="Q15" s="78" t="str">
        <f t="shared" si="0"/>
        <v>TEXT</v>
      </c>
      <c r="R15" s="78" t="str">
        <f t="shared" si="1"/>
        <v/>
      </c>
      <c r="S15" s="78" t="str">
        <f t="shared" ref="S15" si="5">IF(I15="○","NOT NULL","")</f>
        <v/>
      </c>
      <c r="T15" s="78" t="str">
        <f t="shared" ref="T15" si="6">"-- "&amp;C15</f>
        <v>-- 診療科名区分</v>
      </c>
      <c r="U15" s="4"/>
      <c r="AA15" s="4"/>
      <c r="AB15" s="4"/>
      <c r="AC15" s="4"/>
      <c r="AD15" s="4"/>
      <c r="AE15" s="4"/>
      <c r="AF15" s="4"/>
      <c r="AG15" s="4"/>
      <c r="AH15" s="4"/>
      <c r="AI15" s="4"/>
      <c r="AJ15" s="78" t="str">
        <f>IF(E15="○",IF(COUNTA(E$13:E15)=1,"",",")&amp;D15,"")</f>
        <v>,department_kubun</v>
      </c>
      <c r="AK15" s="4"/>
      <c r="AL15" s="4"/>
      <c r="AM15" s="4"/>
      <c r="AN15" s="4"/>
      <c r="AO15" s="4"/>
      <c r="AP15" s="4"/>
      <c r="AQ15" s="4"/>
      <c r="AR15" s="4"/>
      <c r="AS15" s="78" t="str">
        <f>"COMMENT ON COLUMN "&amp;エンティティ一覧!$O$2&amp;"."&amp;D$8&amp;"."&amp;D15&amp;" IS '"&amp;C15&amp;"';"</f>
        <v>COMMENT ON COLUMN milscm_2023_010.azn_202310_backup_mart_shikkan_department.department_kubun IS '診療科名区分';</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B00-000000000000}"/>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ENT_01_A1-06</v>
      </c>
      <c r="E6" s="239"/>
      <c r="F6" s="239"/>
      <c r="G6" s="239"/>
      <c r="H6" s="239"/>
      <c r="I6" s="239"/>
      <c r="J6" s="240"/>
    </row>
    <row r="7" spans="1:45">
      <c r="B7" s="228" t="s">
        <v>115</v>
      </c>
      <c r="C7" s="229"/>
      <c r="D7" s="230" t="s">
        <v>1851</v>
      </c>
      <c r="E7" s="231"/>
      <c r="F7" s="231"/>
      <c r="G7" s="231"/>
      <c r="H7" s="231"/>
      <c r="I7" s="231"/>
      <c r="J7" s="232"/>
    </row>
    <row r="8" spans="1:45">
      <c r="B8" s="228" t="s">
        <v>116</v>
      </c>
      <c r="C8" s="229"/>
      <c r="D8" s="230" t="str">
        <f>エンティティ一覧!AE2&amp;"_"&amp;D5&amp;"_mart_nyu_tai_in"</f>
        <v>azn_202310_backup_mart_nyu_tai_in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入院退院データテーブルから組入れ条件の第一条件で絞り込んだ結果を格納するテーブル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milscm_2023_010.azn_202310_backup_mart_nyu_tai_in;</v>
      </c>
      <c r="O10" s="78"/>
      <c r="P10" s="78"/>
      <c r="Q10" s="78"/>
      <c r="R10" s="78"/>
      <c r="S10" s="78"/>
      <c r="T10" s="78"/>
      <c r="AJ10" s="78" t="str">
        <f>"ALTER TABLE ONLY "&amp;エンティティ一覧!$O$2&amp;"."&amp;D$8</f>
        <v>ALTER TABLE ONLY milscm_2023_010.azn_202310_backup_mart_nyu_tai_in</v>
      </c>
      <c r="AS10" s="78" t="str">
        <f>"ALTER TABLE "&amp;エンティティ一覧!$O$2&amp;"."&amp;D$8&amp;" OWNER TO pgmisgrp1;"</f>
        <v>ALTER TABLE milscm_2023_010.azn_202310_backup_mart_nyu_tai_in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milscm_2023_010.azn_202310_backup_mart_nyu_tai_in</v>
      </c>
      <c r="O11" s="78"/>
      <c r="P11" s="78"/>
      <c r="Q11" s="78"/>
      <c r="R11" s="78"/>
      <c r="S11" s="78"/>
      <c r="T11" s="78"/>
      <c r="AJ11" s="78" t="str">
        <f>"ADD CONSTRAINT "&amp;D$8&amp;"_pkey PRIMARY KEY"</f>
        <v>ADD CONSTRAINT azn_202310_backup_mart_nyu_tai_in_pkey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milscm_2023_010.azn_202310_backup_mart_nyu_tai_in IS 'バックアップ_入院退院データ';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1860</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milscm_2023_010.azn_202310_backup_mart_nyu_tai_in.shikibetsu_no IS 'データ識別番号';</v>
      </c>
    </row>
    <row r="14" spans="1:45" s="25" customFormat="1">
      <c r="A14" s="4"/>
      <c r="B14" s="21">
        <f t="shared" ref="B14:B17" si="2">ROW()-12</f>
        <v>2</v>
      </c>
      <c r="C14" s="6" t="s">
        <v>137</v>
      </c>
      <c r="D14" s="6" t="s">
        <v>128</v>
      </c>
      <c r="E14" s="8" t="s">
        <v>127</v>
      </c>
      <c r="F14" s="7" t="s">
        <v>740</v>
      </c>
      <c r="G14" s="7" t="str">
        <f t="shared" ref="G14:G17" si="3">IF(F14="フラグ","boolean",IF(F14="文字列","text",IF(F14="整数","integer",IF(F14="実数","numeric",""))))</f>
        <v>text</v>
      </c>
      <c r="H14" s="26"/>
      <c r="I14" s="10" t="s">
        <v>127</v>
      </c>
      <c r="J14" s="11" t="s">
        <v>1860</v>
      </c>
      <c r="M14" s="4"/>
      <c r="N14" s="78"/>
      <c r="O14" s="78"/>
      <c r="P14" s="78" t="str">
        <f t="shared" ref="P14:P17" si="4">IF(B14&lt;&gt;1,","&amp;D14,D14)</f>
        <v>,facility_id</v>
      </c>
      <c r="Q14" s="78" t="str">
        <f t="shared" ref="Q14:Q17" si="5">UPPER(G14)</f>
        <v>TEXT</v>
      </c>
      <c r="R14" s="78" t="str">
        <f t="shared" ref="R14:R17" si="6">IF(H14&lt;&gt;"","default "&amp;IF(G14="text","'"&amp;H14&amp;"'",H14),"")</f>
        <v/>
      </c>
      <c r="S14" s="78" t="str">
        <f t="shared" ref="S14:S17" si="7">IF(I14="○","NOT NULL","")</f>
        <v>NOT NULL</v>
      </c>
      <c r="T14" s="78" t="str">
        <f t="shared" ref="T14:T17" si="8">"--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milscm_2023_010.azn_202310_backup_mart_nyu_tai_in.facility_id IS '施設ID';</v>
      </c>
    </row>
    <row r="15" spans="1:45" s="25" customFormat="1">
      <c r="A15" s="4"/>
      <c r="B15" s="21">
        <f t="shared" si="2"/>
        <v>3</v>
      </c>
      <c r="C15" s="6" t="s">
        <v>1852</v>
      </c>
      <c r="D15" s="6" t="s">
        <v>1853</v>
      </c>
      <c r="E15" s="8"/>
      <c r="F15" s="7" t="s">
        <v>1782</v>
      </c>
      <c r="G15" s="7" t="str">
        <f t="shared" si="3"/>
        <v>text</v>
      </c>
      <c r="H15" s="26"/>
      <c r="I15" s="10" t="s">
        <v>127</v>
      </c>
      <c r="J15" s="11" t="s">
        <v>1861</v>
      </c>
      <c r="M15" s="4"/>
      <c r="N15" s="78"/>
      <c r="O15" s="78"/>
      <c r="P15" s="78" t="str">
        <f t="shared" si="4"/>
        <v>,nyuin_ym</v>
      </c>
      <c r="Q15" s="78" t="str">
        <f t="shared" si="5"/>
        <v>TEXT</v>
      </c>
      <c r="R15" s="78" t="str">
        <f t="shared" si="6"/>
        <v/>
      </c>
      <c r="S15" s="78" t="str">
        <f t="shared" si="7"/>
        <v>NOT NULL</v>
      </c>
      <c r="T15" s="78" t="str">
        <f t="shared" si="8"/>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milscm_2023_010.azn_202310_backup_mart_nyu_tai_in.nyuin_ym IS '入院年月';</v>
      </c>
    </row>
    <row r="16" spans="1:45" s="25" customFormat="1">
      <c r="A16" s="4"/>
      <c r="B16" s="21">
        <f t="shared" si="2"/>
        <v>4</v>
      </c>
      <c r="C16" s="6" t="s">
        <v>1854</v>
      </c>
      <c r="D16" s="6" t="s">
        <v>1855</v>
      </c>
      <c r="E16" s="8"/>
      <c r="F16" s="7" t="s">
        <v>1782</v>
      </c>
      <c r="G16" s="7" t="str">
        <f t="shared" si="3"/>
        <v>text</v>
      </c>
      <c r="H16" s="26"/>
      <c r="I16" s="10" t="s">
        <v>127</v>
      </c>
      <c r="J16" s="11" t="s">
        <v>1862</v>
      </c>
      <c r="M16" s="4"/>
      <c r="N16" s="78"/>
      <c r="O16" s="78"/>
      <c r="P16" s="78" t="str">
        <f t="shared" si="4"/>
        <v>,taiin_ym</v>
      </c>
      <c r="Q16" s="78" t="str">
        <f t="shared" si="5"/>
        <v>TEXT</v>
      </c>
      <c r="R16" s="78" t="str">
        <f t="shared" si="6"/>
        <v/>
      </c>
      <c r="S16" s="78" t="str">
        <f t="shared" si="7"/>
        <v>NOT NULL</v>
      </c>
      <c r="T16" s="78" t="str">
        <f t="shared" si="8"/>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milscm_2023_010.azn_202310_backup_mart_nyu_tai_in.taiin_ym IS '退院年月';</v>
      </c>
    </row>
    <row r="17" spans="1:52" s="25" customFormat="1">
      <c r="A17" s="4"/>
      <c r="B17" s="21">
        <f t="shared" si="2"/>
        <v>5</v>
      </c>
      <c r="C17" s="6" t="s">
        <v>1856</v>
      </c>
      <c r="D17" s="6" t="s">
        <v>156</v>
      </c>
      <c r="E17" s="8" t="s">
        <v>127</v>
      </c>
      <c r="F17" s="7" t="s">
        <v>1782</v>
      </c>
      <c r="G17" s="7" t="str">
        <f t="shared" si="3"/>
        <v>text</v>
      </c>
      <c r="H17" s="26"/>
      <c r="I17" s="10" t="s">
        <v>127</v>
      </c>
      <c r="J17" s="11" t="s">
        <v>1860</v>
      </c>
      <c r="M17" s="4"/>
      <c r="N17" s="78"/>
      <c r="O17" s="78"/>
      <c r="P17" s="78" t="str">
        <f t="shared" si="4"/>
        <v>,nyuin_ymd</v>
      </c>
      <c r="Q17" s="78" t="str">
        <f t="shared" si="5"/>
        <v>TEXT</v>
      </c>
      <c r="R17" s="78" t="str">
        <f t="shared" si="6"/>
        <v/>
      </c>
      <c r="S17" s="78" t="str">
        <f t="shared" si="7"/>
        <v>NOT NULL</v>
      </c>
      <c r="T17" s="78" t="str">
        <f t="shared" si="8"/>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milscm_2023_010.azn_202310_backup_mart_nyu_tai_in.nyuin_ymd IS '入院年月日';</v>
      </c>
    </row>
    <row r="18" spans="1:52" s="25" customFormat="1">
      <c r="A18" s="4"/>
      <c r="B18" s="21">
        <f t="shared" ref="B18" si="9">ROW()-12</f>
        <v>6</v>
      </c>
      <c r="C18" s="6" t="s">
        <v>1857</v>
      </c>
      <c r="D18" s="6" t="s">
        <v>213</v>
      </c>
      <c r="E18" s="8" t="s">
        <v>127</v>
      </c>
      <c r="F18" s="7" t="s">
        <v>1782</v>
      </c>
      <c r="G18" s="7" t="str">
        <f t="shared" ref="G18:G19" si="10">IF(F18="フラグ","boolean",IF(F18="文字列","text",IF(F18="整数","integer",IF(F18="実数","numeric",""))))</f>
        <v>text</v>
      </c>
      <c r="H18" s="26"/>
      <c r="I18" s="10" t="s">
        <v>127</v>
      </c>
      <c r="J18" s="11" t="s">
        <v>1860</v>
      </c>
      <c r="M18" s="4"/>
      <c r="N18" s="78"/>
      <c r="O18" s="78"/>
      <c r="P18" s="78" t="str">
        <f t="shared" ref="P18:P19" si="11">IF(B18&lt;&gt;1,","&amp;D18,D18)</f>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milscm_2023_010.azn_202310_backup_mart_nyu_tai_in.taiin_ymd IS '退院年月日';</v>
      </c>
    </row>
    <row r="19" spans="1:52" s="25" customFormat="1" ht="38.25" thickBot="1">
      <c r="A19" s="4"/>
      <c r="B19" s="27">
        <f>ROW()-12</f>
        <v>7</v>
      </c>
      <c r="C19" s="57" t="s">
        <v>1858</v>
      </c>
      <c r="D19" s="57" t="s">
        <v>1859</v>
      </c>
      <c r="E19" s="56"/>
      <c r="F19" s="56" t="s">
        <v>1782</v>
      </c>
      <c r="G19" s="56" t="str">
        <f t="shared" si="10"/>
        <v>text</v>
      </c>
      <c r="H19" s="59"/>
      <c r="I19" s="60" t="s">
        <v>127</v>
      </c>
      <c r="J19" s="64" t="s">
        <v>1863</v>
      </c>
      <c r="N19" s="78"/>
      <c r="O19" s="78"/>
      <c r="P19" s="78" t="str">
        <f t="shared" si="11"/>
        <v>,nyuinchu_flg</v>
      </c>
      <c r="Q19" s="78" t="str">
        <f t="shared" si="0"/>
        <v>TEXT</v>
      </c>
      <c r="R19" s="78" t="str">
        <f t="shared" si="1"/>
        <v/>
      </c>
      <c r="S19" s="78" t="str">
        <f t="shared" ref="S19" si="12">IF(I19="○","NOT NULL","")</f>
        <v>NOT NULL</v>
      </c>
      <c r="T19" s="78" t="str">
        <f t="shared" ref="T19" si="13">"--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C00-000000000000}"/>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7" t="s">
        <v>110</v>
      </c>
      <c r="C1" s="218"/>
      <c r="D1" s="221" t="s">
        <v>111</v>
      </c>
      <c r="E1" s="222"/>
      <c r="F1" s="222"/>
      <c r="G1" s="213"/>
      <c r="H1" s="221" t="s">
        <v>112</v>
      </c>
      <c r="I1" s="213"/>
      <c r="J1" s="15" t="s">
        <v>113</v>
      </c>
    </row>
    <row r="2" spans="1:52" ht="19.5" thickBot="1">
      <c r="B2" s="219"/>
      <c r="C2" s="220"/>
      <c r="D2" s="223" t="s">
        <v>114</v>
      </c>
      <c r="E2" s="224"/>
      <c r="F2" s="224"/>
      <c r="G2" s="225"/>
      <c r="H2" s="226"/>
      <c r="I2" s="227"/>
      <c r="J2" s="17"/>
    </row>
    <row r="3" spans="1:52" ht="19.5" thickBot="1">
      <c r="B3" s="5"/>
      <c r="C3" s="5"/>
      <c r="D3" s="5"/>
      <c r="E3" s="5"/>
      <c r="F3" s="5"/>
      <c r="G3" s="5"/>
      <c r="H3" s="5"/>
      <c r="I3" s="5"/>
      <c r="J3" s="18"/>
    </row>
    <row r="4" spans="1:52">
      <c r="B4" s="212" t="s">
        <v>3754</v>
      </c>
      <c r="C4" s="213"/>
      <c r="D4" s="214" t="str">
        <f>VLOOKUP(D7,エンティティ一覧!A1:'エンティティ一覧'!AM10142,2,FALSE)</f>
        <v>01</v>
      </c>
      <c r="E4" s="215"/>
      <c r="F4" s="215"/>
      <c r="G4" s="215"/>
      <c r="H4" s="215"/>
      <c r="I4" s="215"/>
      <c r="J4" s="216"/>
    </row>
    <row r="5" spans="1:52">
      <c r="B5" s="228" t="s">
        <v>3755</v>
      </c>
      <c r="C5" s="229"/>
      <c r="D5" s="238" t="str">
        <f>VLOOKUP(D7,エンティティ一覧!A1:'エンティティ一覧'!AM10142,7,FALSE)</f>
        <v>backup</v>
      </c>
      <c r="E5" s="239"/>
      <c r="F5" s="239"/>
      <c r="G5" s="239"/>
      <c r="H5" s="239"/>
      <c r="I5" s="239"/>
      <c r="J5" s="240"/>
    </row>
    <row r="6" spans="1:52">
      <c r="B6" s="228" t="s">
        <v>3756</v>
      </c>
      <c r="C6" s="229"/>
      <c r="D6" s="238" t="str">
        <f>VLOOKUP(D7,エンティティ一覧!A1:'エンティティ一覧'!AM10142,15,FALSE)</f>
        <v>ENT_01_A1-07</v>
      </c>
      <c r="E6" s="239"/>
      <c r="F6" s="239"/>
      <c r="G6" s="239"/>
      <c r="H6" s="239"/>
      <c r="I6" s="239"/>
      <c r="J6" s="240"/>
    </row>
    <row r="7" spans="1:52">
      <c r="B7" s="228" t="s">
        <v>115</v>
      </c>
      <c r="C7" s="229"/>
      <c r="D7" s="230" t="s">
        <v>1864</v>
      </c>
      <c r="E7" s="231"/>
      <c r="F7" s="231"/>
      <c r="G7" s="231"/>
      <c r="H7" s="231"/>
      <c r="I7" s="231"/>
      <c r="J7" s="232"/>
    </row>
    <row r="8" spans="1:52">
      <c r="B8" s="228" t="s">
        <v>116</v>
      </c>
      <c r="C8" s="229"/>
      <c r="D8" s="230" t="str">
        <f>エンティティ一覧!AE2&amp;"_"&amp;D5&amp;"_mart_2riyo_patient_id"</f>
        <v>azn_202310_backup_mart_2riyo_patient_id</v>
      </c>
      <c r="E8" s="231"/>
      <c r="F8" s="231"/>
      <c r="G8" s="231"/>
      <c r="H8" s="231"/>
      <c r="I8" s="231"/>
      <c r="J8" s="232"/>
    </row>
    <row r="9" spans="1:52" ht="19.5" customHeight="1" thickBot="1">
      <c r="B9" s="233" t="s">
        <v>117</v>
      </c>
      <c r="C9" s="234"/>
      <c r="D9" s="235"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36"/>
      <c r="F9" s="236"/>
      <c r="G9" s="236"/>
      <c r="H9" s="236"/>
      <c r="I9" s="236"/>
      <c r="J9" s="237"/>
    </row>
    <row r="10" spans="1:52">
      <c r="B10" s="19"/>
      <c r="C10" s="19"/>
      <c r="D10" s="5"/>
      <c r="E10" s="5"/>
      <c r="F10" s="5"/>
      <c r="G10" s="5"/>
      <c r="H10" s="5"/>
      <c r="I10" s="5"/>
      <c r="J10" s="18"/>
      <c r="N10" s="78" t="str">
        <f>"--DROP TABLE  "&amp;エンティティ一覧!$O$2&amp;"."&amp;D$8&amp;";"</f>
        <v>--DROP TABLE  milscm_2023_010.azn_202310_backup_mart_2riyo_patient_id;</v>
      </c>
      <c r="O10" s="78"/>
      <c r="P10" s="78"/>
      <c r="Q10" s="78"/>
      <c r="R10" s="78"/>
      <c r="S10" s="78"/>
      <c r="T10" s="78"/>
      <c r="AJ10" s="78" t="str">
        <f>"ALTER TABLE ONLY "&amp;エンティティ一覧!$O$2&amp;"."&amp;D$8</f>
        <v>ALTER TABLE ONLY milscm_2023_010.azn_202310_backup_mart_2riyo_patient_id</v>
      </c>
      <c r="AS10" s="78" t="str">
        <f>"ALTER TABLE "&amp;エンティティ一覧!$O$2&amp;"."&amp;D$8&amp;" OWNER TO pgmisgrp1;"</f>
        <v>ALTER TABLE milscm_2023_010.azn_202310_backup_mart_2riyo_patient_id OWNER TO pgmisgrp1;</v>
      </c>
    </row>
    <row r="11" spans="1:52" ht="19.5" thickBot="1">
      <c r="B11" s="20" t="s">
        <v>118</v>
      </c>
      <c r="C11" s="19"/>
      <c r="D11" s="5"/>
      <c r="E11" s="5"/>
      <c r="F11" s="5"/>
      <c r="G11" s="5"/>
      <c r="H11" s="5"/>
      <c r="I11" s="5"/>
      <c r="J11" s="18"/>
      <c r="N11" s="78" t="str">
        <f>"CREATE TABLE  "&amp;エンティティ一覧!$O$2&amp;"."&amp;D$8</f>
        <v>CREATE TABLE  milscm_2023_010.azn_202310_backup_mart_2riyo_patient_id</v>
      </c>
      <c r="O11" s="78"/>
      <c r="P11" s="78"/>
      <c r="Q11" s="78"/>
      <c r="R11" s="78"/>
      <c r="S11" s="78"/>
      <c r="T11" s="78"/>
      <c r="AJ11" s="78" t="str">
        <f>"ADD CONSTRAINT "&amp;D$8&amp;"_pkey PRIMARY KEY"</f>
        <v>ADD CONSTRAINT azn_202310_backup_mart_2riyo_patient_id_pkey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 IS 'バックアップ_二次利用DB登録患者データ';</v>
      </c>
    </row>
    <row r="13" spans="1:52"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milscm_2023_010.azn_202310_backup_mart_2riyo_patient_id.facility_id IS '施設ID';</v>
      </c>
    </row>
    <row r="14" spans="1:52" s="25" customFormat="1">
      <c r="A14" s="4"/>
      <c r="B14" s="21">
        <f t="shared" ref="B14" si="2">ROW()-12</f>
        <v>2</v>
      </c>
      <c r="C14" s="6" t="s">
        <v>1865</v>
      </c>
      <c r="D14" s="6" t="s">
        <v>209</v>
      </c>
      <c r="E14" s="8" t="s">
        <v>127</v>
      </c>
      <c r="F14" s="7" t="s">
        <v>1866</v>
      </c>
      <c r="G14" s="7" t="str">
        <f t="shared" ref="G14:G15" si="3">IF(F14="フラグ","boolean",IF(F14="文字列","text",IF(F14="整数","integer",IF(F14="実数","numeric",""))))</f>
        <v>text</v>
      </c>
      <c r="H14" s="26"/>
      <c r="I14" s="10" t="s">
        <v>127</v>
      </c>
      <c r="J14" s="11" t="s">
        <v>1869</v>
      </c>
      <c r="M14" s="4"/>
      <c r="N14" s="78"/>
      <c r="O14" s="78"/>
      <c r="P14" s="78" t="str">
        <f t="shared" ref="P14:P15" si="4">IF(B14&lt;&gt;1,","&amp;D14,D14)</f>
        <v>,data_type</v>
      </c>
      <c r="Q14" s="78" t="str">
        <f t="shared" si="0"/>
        <v>TEXT</v>
      </c>
      <c r="R14" s="78" t="str">
        <f t="shared" si="1"/>
        <v/>
      </c>
      <c r="S14" s="78" t="str">
        <f t="shared" ref="S14" si="5">IF(I14="○","NOT NULL","")</f>
        <v>NOT NULL</v>
      </c>
      <c r="T14" s="78" t="str">
        <f t="shared" ref="T14" si="6">"-- "&amp;C14</f>
        <v>-- データ種別</v>
      </c>
      <c r="U14" s="4"/>
      <c r="AA14" s="4"/>
      <c r="AB14" s="4"/>
      <c r="AC14" s="4"/>
      <c r="AD14" s="4"/>
      <c r="AE14" s="4"/>
      <c r="AF14" s="4"/>
      <c r="AG14" s="4"/>
      <c r="AH14" s="4"/>
      <c r="AI14" s="4"/>
      <c r="AJ14" s="78" t="str">
        <f>IF(E14="○",IF(COUNTA(E$13:E14)=1,"",",")&amp;D14,"")</f>
        <v>,data_type</v>
      </c>
      <c r="AK14" s="4"/>
      <c r="AL14" s="4"/>
      <c r="AM14" s="4"/>
      <c r="AN14" s="4"/>
      <c r="AO14" s="4"/>
      <c r="AP14" s="4"/>
      <c r="AQ14" s="4"/>
      <c r="AR14" s="4"/>
      <c r="AS14" s="78" t="str">
        <f>"COMMENT ON COLUMN "&amp;エンティティ一覧!$O$2&amp;"."&amp;D$8&amp;"."&amp;D14&amp;" IS '"&amp;C14&amp;"';"</f>
        <v>COMMENT ON COLUMN milscm_2023_010.azn_202310_backup_mart_2riyo_patient_id.data_type IS 'データ種別';</v>
      </c>
    </row>
    <row r="15" spans="1:52" s="25" customFormat="1" ht="19.5" thickBot="1">
      <c r="A15" s="4"/>
      <c r="B15" s="27">
        <f>ROW()-12</f>
        <v>3</v>
      </c>
      <c r="C15" s="57" t="s">
        <v>1867</v>
      </c>
      <c r="D15" s="57" t="s">
        <v>1868</v>
      </c>
      <c r="E15" s="56" t="s">
        <v>127</v>
      </c>
      <c r="F15" s="56" t="s">
        <v>1782</v>
      </c>
      <c r="G15" s="56" t="str">
        <f t="shared" si="3"/>
        <v>text</v>
      </c>
      <c r="H15" s="59"/>
      <c r="I15" s="60" t="s">
        <v>127</v>
      </c>
      <c r="J15" s="64"/>
      <c r="N15" s="78"/>
      <c r="O15" s="78"/>
      <c r="P15" s="78" t="str">
        <f t="shared" si="4"/>
        <v>,patient_id</v>
      </c>
      <c r="Q15" s="78" t="str">
        <f t="shared" si="0"/>
        <v>TEXT</v>
      </c>
      <c r="R15" s="78" t="str">
        <f t="shared" si="1"/>
        <v/>
      </c>
      <c r="S15" s="78" t="str">
        <f t="shared" ref="S15" si="7">IF(I15="○","NOT NULL","")</f>
        <v>NOT NULL</v>
      </c>
      <c r="T15" s="78" t="str">
        <f t="shared" ref="T15" si="8">"-- "&amp;C15</f>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milscm_2023_010.azn_202310_backup_mart_2riyo_patient_id.patient_id IS '患者ID';</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D00-000000000000}"/>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ENT_01_A1-08</v>
      </c>
      <c r="E6" s="239"/>
      <c r="F6" s="239"/>
      <c r="G6" s="239"/>
      <c r="H6" s="239"/>
      <c r="I6" s="239"/>
      <c r="J6" s="240"/>
    </row>
    <row r="7" spans="1:45">
      <c r="B7" s="228" t="s">
        <v>115</v>
      </c>
      <c r="C7" s="229"/>
      <c r="D7" s="230" t="s">
        <v>1870</v>
      </c>
      <c r="E7" s="231"/>
      <c r="F7" s="231"/>
      <c r="G7" s="231"/>
      <c r="H7" s="231"/>
      <c r="I7" s="231"/>
      <c r="J7" s="232"/>
    </row>
    <row r="8" spans="1:45">
      <c r="B8" s="228" t="s">
        <v>116</v>
      </c>
      <c r="C8" s="229"/>
      <c r="D8" s="230" t="str">
        <f>エンティティ一覧!AE2&amp;"_"&amp;D5&amp;"_mart_2riyo_patient_id_dpc"</f>
        <v>azn_202310_backup_mart_2riyo_patient_id_dpc</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milscm_2023_010.azn_202310_backup_mart_2riyo_patient_id_dpc;</v>
      </c>
      <c r="O10" s="78"/>
      <c r="P10" s="78"/>
      <c r="Q10" s="78"/>
      <c r="R10" s="78"/>
      <c r="S10" s="78"/>
      <c r="T10" s="78"/>
      <c r="AJ10" s="78" t="str">
        <f>"ALTER TABLE ONLY "&amp;エンティティ一覧!$O$2&amp;"."&amp;D$8</f>
        <v>ALTER TABLE ONLY milscm_2023_010.azn_202310_backup_mart_2riyo_patient_id_dpc</v>
      </c>
      <c r="AS10" s="78" t="str">
        <f>"ALTER TABLE "&amp;エンティティ一覧!$O$2&amp;"."&amp;D$8&amp;" OWNER TO pgmisgrp1;"</f>
        <v>ALTER TABLE milscm_2023_010.azn_202310_backup_mart_2riyo_patient_id_dpc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milscm_2023_010.azn_202310_backup_mart_2riyo_patient_id_dpc</v>
      </c>
      <c r="O11" s="78"/>
      <c r="P11" s="78"/>
      <c r="Q11" s="78"/>
      <c r="R11" s="78"/>
      <c r="S11" s="78"/>
      <c r="T11" s="78"/>
      <c r="AJ11" s="78" t="str">
        <f>"ADD CONSTRAINT "&amp;D$8&amp;"_pkey PRIMARY KEY"</f>
        <v>ADD CONSTRAINT azn_202310_backup_mart_2riyo_patient_id_dpc_pkey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milscm_2023_010.azn_202310_backup_mart_2riyo_patient_id_dpc IS 'バックアップ_二次利用DB登録患者データ_DPC';</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milscm_2023_010.azn_202310_backup_mart_2riyo_patient_id_dpc.mil_karute_id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milscm_2023_010.azn_202310_backup_mart_2riyo_patient_id_dpc.facility_id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milscm_2023_010.azn_202310_backup_mart_2riyo_patient_id_dpc.patient_id IS '患者ID';</v>
      </c>
    </row>
    <row r="16" spans="1:45" s="25" customFormat="1">
      <c r="A16" s="4"/>
      <c r="B16" s="21">
        <f t="shared" si="2"/>
        <v>4</v>
      </c>
      <c r="C16" s="6" t="s">
        <v>1871</v>
      </c>
      <c r="D16" s="6" t="s">
        <v>1872</v>
      </c>
      <c r="E16" s="8"/>
      <c r="F16" s="7" t="s">
        <v>1873</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milscm_2023_010.azn_202310_backup_mart_2riyo_patient_id_dpc.shinryo_ym_min IS '診療年月_最小';</v>
      </c>
    </row>
    <row r="17" spans="1:52" s="25" customFormat="1">
      <c r="A17" s="4"/>
      <c r="B17" s="21">
        <f t="shared" si="2"/>
        <v>5</v>
      </c>
      <c r="C17" s="6" t="s">
        <v>1874</v>
      </c>
      <c r="D17" s="6" t="s">
        <v>1875</v>
      </c>
      <c r="E17" s="8"/>
      <c r="F17" s="7" t="s">
        <v>1866</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milscm_2023_010.azn_202310_backup_mart_2riyo_patient_id_dpc.shinryo_ym_max IS '診療年月_最大';</v>
      </c>
    </row>
    <row r="18" spans="1:52" s="25" customFormat="1" ht="56.25">
      <c r="A18" s="4"/>
      <c r="B18" s="21">
        <f t="shared" si="2"/>
        <v>6</v>
      </c>
      <c r="C18" s="6" t="s">
        <v>1876</v>
      </c>
      <c r="D18" s="6" t="s">
        <v>990</v>
      </c>
      <c r="E18" s="8" t="s">
        <v>127</v>
      </c>
      <c r="F18" s="7" t="s">
        <v>1782</v>
      </c>
      <c r="G18" s="7" t="str">
        <f t="shared" si="3"/>
        <v>text</v>
      </c>
      <c r="H18" s="26"/>
      <c r="I18" s="10" t="s">
        <v>127</v>
      </c>
      <c r="J18" s="11" t="s">
        <v>1878</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milscm_2023_010.azn_202310_backup_mart_2riyo_patient_id_dpc.sex_kubun IS '男女区分';</v>
      </c>
    </row>
    <row r="19" spans="1:52" s="25" customFormat="1" ht="94.5" thickBot="1">
      <c r="A19" s="4"/>
      <c r="B19" s="27">
        <f>ROW()-12</f>
        <v>7</v>
      </c>
      <c r="C19" s="57" t="s">
        <v>1877</v>
      </c>
      <c r="D19" s="57" t="s">
        <v>323</v>
      </c>
      <c r="E19" s="56" t="s">
        <v>127</v>
      </c>
      <c r="F19" s="56" t="s">
        <v>1782</v>
      </c>
      <c r="G19" s="56" t="str">
        <f t="shared" si="3"/>
        <v>text</v>
      </c>
      <c r="H19" s="59"/>
      <c r="I19" s="60" t="s">
        <v>127</v>
      </c>
      <c r="J19" s="64" t="s">
        <v>1879</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milscm_2023_010.azn_202310_backup_mart_2riyo_patient_id_dpc.birthday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E00-000000000000}"/>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ENT_01_A1-09</v>
      </c>
      <c r="E6" s="239"/>
      <c r="F6" s="239"/>
      <c r="G6" s="239"/>
      <c r="H6" s="239"/>
      <c r="I6" s="239"/>
      <c r="J6" s="240"/>
    </row>
    <row r="7" spans="1:45">
      <c r="B7" s="228" t="s">
        <v>115</v>
      </c>
      <c r="C7" s="229"/>
      <c r="D7" s="230" t="s">
        <v>1880</v>
      </c>
      <c r="E7" s="231"/>
      <c r="F7" s="231"/>
      <c r="G7" s="231"/>
      <c r="H7" s="231"/>
      <c r="I7" s="231"/>
      <c r="J7" s="232"/>
    </row>
    <row r="8" spans="1:45">
      <c r="B8" s="228" t="s">
        <v>116</v>
      </c>
      <c r="C8" s="229"/>
      <c r="D8" s="230" t="str">
        <f>エンティティ一覧!AE2&amp;"_"&amp;D5&amp;"_mart_2riyo_patient_id_rcp"</f>
        <v>azn_202310_backup_mart_2riyo_patient_id_rcp</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milscm_2023_010.azn_202310_backup_mart_2riyo_patient_id_rcp;</v>
      </c>
      <c r="O10" s="78"/>
      <c r="P10" s="78"/>
      <c r="Q10" s="78"/>
      <c r="R10" s="78"/>
      <c r="S10" s="78"/>
      <c r="T10" s="78"/>
      <c r="AJ10" s="78" t="str">
        <f>"ALTER TABLE ONLY "&amp;エンティティ一覧!$O$2&amp;"."&amp;D$8</f>
        <v>ALTER TABLE ONLY milscm_2023_010.azn_202310_backup_mart_2riyo_patient_id_rcp</v>
      </c>
      <c r="AS10" s="78" t="str">
        <f>"ALTER TABLE "&amp;エンティティ一覧!$O$2&amp;"."&amp;D$8&amp;" OWNER TO pgmisgrp1;"</f>
        <v>ALTER TABLE milscm_2023_010.azn_202310_backup_mart_2riyo_patient_id_rcp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milscm_2023_010.azn_202310_backup_mart_2riyo_patient_id_rcp</v>
      </c>
      <c r="O11" s="78"/>
      <c r="P11" s="78"/>
      <c r="Q11" s="78"/>
      <c r="R11" s="78"/>
      <c r="S11" s="78"/>
      <c r="T11" s="78"/>
      <c r="AJ11" s="78" t="str">
        <f>"ADD CONSTRAINT "&amp;D$8&amp;"_pkey PRIMARY KEY"</f>
        <v>ADD CONSTRAINT azn_202310_backup_mart_2riyo_patient_id_rcp_pkey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milscm_2023_010.azn_202310_backup_mart_2riyo_patient_id_rcp IS 'バックアップ_二次利用DB登録患者データ_レセプト';</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milscm_2023_010.azn_202310_backup_mart_2riyo_patient_id_rcp.mil_karute_id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milscm_2023_010.azn_202310_backup_mart_2riyo_patient_id_rcp.facility_id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milscm_2023_010.azn_202310_backup_mart_2riyo_patient_id_rcp.patient_id IS '患者ID';</v>
      </c>
    </row>
    <row r="16" spans="1:45" s="25" customFormat="1">
      <c r="A16" s="4"/>
      <c r="B16" s="21">
        <f t="shared" si="2"/>
        <v>4</v>
      </c>
      <c r="C16" s="6" t="s">
        <v>1871</v>
      </c>
      <c r="D16" s="6" t="s">
        <v>1872</v>
      </c>
      <c r="E16" s="8"/>
      <c r="F16" s="7" t="s">
        <v>1873</v>
      </c>
      <c r="G16" s="7" t="str">
        <f t="shared" si="3"/>
        <v>text</v>
      </c>
      <c r="H16" s="26"/>
      <c r="I16" s="10" t="s">
        <v>127</v>
      </c>
      <c r="J16" s="11"/>
      <c r="M16" s="4"/>
      <c r="N16" s="78"/>
      <c r="O16" s="78"/>
      <c r="P16" s="78" t="str">
        <f t="shared" si="4"/>
        <v>,shinryo_ym_min</v>
      </c>
      <c r="Q16" s="78" t="str">
        <f t="shared" si="0"/>
        <v>TEXT</v>
      </c>
      <c r="R16" s="78" t="str">
        <f t="shared" si="1"/>
        <v/>
      </c>
      <c r="S16" s="78" t="str">
        <f t="shared" si="5"/>
        <v>NOT NULL</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milscm_2023_010.azn_202310_backup_mart_2riyo_patient_id_rcp.shinryo_ym_min IS '診療年月_最小';</v>
      </c>
    </row>
    <row r="17" spans="1:52" s="25" customFormat="1">
      <c r="A17" s="4"/>
      <c r="B17" s="21">
        <f t="shared" si="2"/>
        <v>5</v>
      </c>
      <c r="C17" s="6" t="s">
        <v>1874</v>
      </c>
      <c r="D17" s="6" t="s">
        <v>1875</v>
      </c>
      <c r="E17" s="8"/>
      <c r="F17" s="7" t="s">
        <v>1866</v>
      </c>
      <c r="G17" s="7" t="str">
        <f t="shared" si="3"/>
        <v>text</v>
      </c>
      <c r="H17" s="26"/>
      <c r="I17" s="10" t="s">
        <v>127</v>
      </c>
      <c r="J17" s="11"/>
      <c r="M17" s="4"/>
      <c r="N17" s="78"/>
      <c r="O17" s="78"/>
      <c r="P17" s="78" t="str">
        <f t="shared" si="4"/>
        <v>,shinryo_ym_max</v>
      </c>
      <c r="Q17" s="78" t="str">
        <f t="shared" si="0"/>
        <v>TEXT</v>
      </c>
      <c r="R17" s="78" t="str">
        <f t="shared" si="1"/>
        <v/>
      </c>
      <c r="S17" s="78" t="str">
        <f t="shared" si="5"/>
        <v>NOT NULL</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milscm_2023_010.azn_202310_backup_mart_2riyo_patient_id_rcp.shinryo_ym_max IS '診療年月_最大';</v>
      </c>
    </row>
    <row r="18" spans="1:52" s="25" customFormat="1">
      <c r="A18" s="4"/>
      <c r="B18" s="21">
        <f t="shared" si="2"/>
        <v>6</v>
      </c>
      <c r="C18" s="6" t="s">
        <v>1876</v>
      </c>
      <c r="D18" s="6" t="s">
        <v>990</v>
      </c>
      <c r="E18" s="8" t="s">
        <v>127</v>
      </c>
      <c r="F18" s="7" t="s">
        <v>1782</v>
      </c>
      <c r="G18" s="7" t="str">
        <f t="shared" si="3"/>
        <v>text</v>
      </c>
      <c r="H18" s="26"/>
      <c r="I18" s="10" t="s">
        <v>127</v>
      </c>
      <c r="J18" s="11" t="s">
        <v>1881</v>
      </c>
      <c r="M18" s="4"/>
      <c r="N18" s="78"/>
      <c r="O18" s="78"/>
      <c r="P18" s="78" t="str">
        <f t="shared" si="4"/>
        <v>,sex_kubun</v>
      </c>
      <c r="Q18" s="78" t="str">
        <f t="shared" si="0"/>
        <v>TEXT</v>
      </c>
      <c r="R18" s="78" t="str">
        <f t="shared" si="1"/>
        <v/>
      </c>
      <c r="S18" s="78" t="str">
        <f>IF(I18="○","NOT NULL","")</f>
        <v>NOT NULL</v>
      </c>
      <c r="T18" s="78" t="str">
        <f>"-- "&amp;C18</f>
        <v>-- 男女区分</v>
      </c>
      <c r="U18" s="4"/>
      <c r="AA18" s="4"/>
      <c r="AB18" s="4"/>
      <c r="AC18" s="4"/>
      <c r="AD18" s="4"/>
      <c r="AE18" s="4"/>
      <c r="AF18" s="4"/>
      <c r="AG18" s="4"/>
      <c r="AH18" s="4"/>
      <c r="AI18" s="4"/>
      <c r="AJ18" s="78" t="str">
        <f>IF(E18="○",IF(COUNTA(E$13:E18)=1,"",",")&amp;D18,"")</f>
        <v>,sex_kubun</v>
      </c>
      <c r="AK18" s="4"/>
      <c r="AL18" s="4"/>
      <c r="AM18" s="4"/>
      <c r="AN18" s="4"/>
      <c r="AO18" s="4"/>
      <c r="AP18" s="4"/>
      <c r="AQ18" s="4"/>
      <c r="AR18" s="4"/>
      <c r="AS18" s="78" t="str">
        <f>"COMMENT ON COLUMN "&amp;エンティティ一覧!$O$2&amp;"."&amp;D$8&amp;"."&amp;D18&amp;" IS '"&amp;C18&amp;"';"</f>
        <v>COMMENT ON COLUMN milscm_2023_010.azn_202310_backup_mart_2riyo_patient_id_rcp.sex_kubun IS '男女区分';</v>
      </c>
    </row>
    <row r="19" spans="1:52" s="25" customFormat="1" ht="57" thickBot="1">
      <c r="A19" s="4"/>
      <c r="B19" s="27">
        <f>ROW()-12</f>
        <v>7</v>
      </c>
      <c r="C19" s="57" t="s">
        <v>1877</v>
      </c>
      <c r="D19" s="57" t="s">
        <v>323</v>
      </c>
      <c r="E19" s="56" t="s">
        <v>127</v>
      </c>
      <c r="F19" s="56" t="s">
        <v>1782</v>
      </c>
      <c r="G19" s="56" t="str">
        <f t="shared" si="3"/>
        <v>text</v>
      </c>
      <c r="H19" s="59"/>
      <c r="I19" s="60" t="s">
        <v>127</v>
      </c>
      <c r="J19" s="64" t="s">
        <v>1882</v>
      </c>
      <c r="N19" s="78"/>
      <c r="O19" s="78"/>
      <c r="P19" s="78" t="str">
        <f t="shared" si="4"/>
        <v>,birthday</v>
      </c>
      <c r="Q19" s="78" t="str">
        <f t="shared" si="0"/>
        <v>TEXT</v>
      </c>
      <c r="R19" s="78" t="str">
        <f t="shared" si="1"/>
        <v/>
      </c>
      <c r="S19" s="78" t="str">
        <f t="shared" ref="S19" si="7">IF(I19="○","NOT NULL","")</f>
        <v>NOT NULL</v>
      </c>
      <c r="T19" s="78" t="str">
        <f t="shared" ref="T19" si="8">"-- "&amp;C19</f>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milscm_2023_010.azn_202310_backup_mart_2riyo_patient_id_rcp.birthday IS '生年月日';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0F00-000000000000}"/>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ENT_01_A1-10</v>
      </c>
      <c r="E6" s="239"/>
      <c r="F6" s="239"/>
      <c r="G6" s="239"/>
      <c r="H6" s="239"/>
      <c r="I6" s="239"/>
      <c r="J6" s="240"/>
    </row>
    <row r="7" spans="1:45">
      <c r="B7" s="228" t="s">
        <v>115</v>
      </c>
      <c r="C7" s="229"/>
      <c r="D7" s="230" t="s">
        <v>1883</v>
      </c>
      <c r="E7" s="231"/>
      <c r="F7" s="231"/>
      <c r="G7" s="231"/>
      <c r="H7" s="231"/>
      <c r="I7" s="231"/>
      <c r="J7" s="232"/>
    </row>
    <row r="8" spans="1:45">
      <c r="B8" s="228" t="s">
        <v>116</v>
      </c>
      <c r="C8" s="229"/>
      <c r="D8" s="230" t="str">
        <f>エンティティ一覧!AE2&amp;"_"&amp;D5&amp;"_mart_2riyo_patient_id_mml"</f>
        <v>azn_202310_backup_mart_2riyo_patient_id_mml</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milscm_2023_010.azn_202310_backup_mart_2riyo_patient_id_mml;</v>
      </c>
      <c r="O10" s="78"/>
      <c r="P10" s="78"/>
      <c r="Q10" s="78"/>
      <c r="R10" s="78"/>
      <c r="S10" s="78"/>
      <c r="T10" s="78"/>
      <c r="AJ10" s="78" t="str">
        <f>"ALTER TABLE ONLY "&amp;エンティティ一覧!$O$2&amp;"."&amp;D$8</f>
        <v>ALTER TABLE ONLY milscm_2023_010.azn_202310_backup_mart_2riyo_patient_id_mml</v>
      </c>
      <c r="AS10" s="78" t="str">
        <f>"ALTER TABLE "&amp;エンティティ一覧!$O$2&amp;"."&amp;D$8&amp;" OWNER TO pgmisgrp1;"</f>
        <v>ALTER TABLE milscm_2023_010.azn_202310_backup_mart_2riyo_patient_id_mml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milscm_2023_010.azn_202310_backup_mart_2riyo_patient_id_mml</v>
      </c>
      <c r="O11" s="78"/>
      <c r="P11" s="78"/>
      <c r="Q11" s="78"/>
      <c r="R11" s="78"/>
      <c r="S11" s="78"/>
      <c r="T11" s="78"/>
      <c r="AJ11" s="78" t="str">
        <f>"ADD CONSTRAINT "&amp;D$8&amp;"_pkey PRIMARY KEY"</f>
        <v>ADD CONSTRAINT azn_202310_backup_mart_2riyo_patient_id_mml_pkey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milscm_2023_010.azn_202310_backup_mart_2riyo_patient_id_mml IS 'バックアップ_二次利用DB登録患者データ_MML';</v>
      </c>
    </row>
    <row r="13" spans="1:45" s="25" customFormat="1">
      <c r="A13" s="4"/>
      <c r="B13" s="21">
        <f>ROW()-12</f>
        <v>1</v>
      </c>
      <c r="C13" s="6" t="s">
        <v>203</v>
      </c>
      <c r="D13" s="6" t="s">
        <v>204</v>
      </c>
      <c r="E13" s="8" t="s">
        <v>127</v>
      </c>
      <c r="F13" s="8" t="s">
        <v>205</v>
      </c>
      <c r="G13" s="7" t="str">
        <f>IF(F13="フラグ","boolean",IF(F13="文字列","text",IF(F13="整数","integer",IF(F13="実数","numeric",""))))</f>
        <v>integer</v>
      </c>
      <c r="H13" s="9"/>
      <c r="I13" s="10" t="s">
        <v>127</v>
      </c>
      <c r="J13" s="11"/>
      <c r="M13" s="4"/>
      <c r="N13" s="78"/>
      <c r="O13" s="78"/>
      <c r="P13" s="78" t="str">
        <f>IF(B13&lt;&gt;1,","&amp;D13,D13)</f>
        <v>mil_karute_id</v>
      </c>
      <c r="Q13" s="78" t="str">
        <f t="shared" ref="Q13:Q19" si="0">UPPER(G13)</f>
        <v>INTEGER</v>
      </c>
      <c r="R13" s="78" t="str">
        <f t="shared" ref="R13:R19" si="1">IF(H13&lt;&gt;"","default "&amp;IF(G13="text","'"&amp;H13&amp;"'",H13),"")</f>
        <v/>
      </c>
      <c r="S13" s="78" t="str">
        <f>IF(I13="○","NOT NULL","")</f>
        <v>NOT NULL</v>
      </c>
      <c r="T13" s="78" t="str">
        <f>"-- "&amp;C13</f>
        <v>-- 千年カルテID</v>
      </c>
      <c r="U13" s="4"/>
      <c r="AA13" s="4"/>
      <c r="AB13" s="4"/>
      <c r="AC13" s="4"/>
      <c r="AD13" s="4"/>
      <c r="AE13" s="4"/>
      <c r="AF13" s="4"/>
      <c r="AG13" s="4"/>
      <c r="AH13" s="4"/>
      <c r="AI13" s="4"/>
      <c r="AJ13" s="78" t="str">
        <f>IF(E13="○",IF(COUNTA(E$13:E13)=1,"",",")&amp;D13,"")</f>
        <v>mil_karute_id</v>
      </c>
      <c r="AK13" s="4"/>
      <c r="AL13" s="4"/>
      <c r="AM13" s="4"/>
      <c r="AN13" s="4"/>
      <c r="AO13" s="4"/>
      <c r="AP13" s="4"/>
      <c r="AQ13" s="4"/>
      <c r="AR13" s="4"/>
      <c r="AS13" s="78" t="str">
        <f>"COMMENT ON COLUMN "&amp;エンティティ一覧!$O$2&amp;"."&amp;D$8&amp;"."&amp;D13&amp;" IS '"&amp;C13&amp;"';"</f>
        <v>COMMENT ON COLUMN milscm_2023_010.azn_202310_backup_mart_2riyo_patient_id_mml.mil_karute_id IS '千年カルテID';</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milscm_2023_010.azn_202310_backup_mart_2riyo_patient_id_mml.facility_id IS '施設ID';</v>
      </c>
    </row>
    <row r="15" spans="1:45" s="25" customFormat="1">
      <c r="A15" s="4"/>
      <c r="B15" s="21">
        <f t="shared" si="2"/>
        <v>3</v>
      </c>
      <c r="C15" s="6" t="s">
        <v>1867</v>
      </c>
      <c r="D15" s="6" t="s">
        <v>1868</v>
      </c>
      <c r="E15" s="8" t="s">
        <v>127</v>
      </c>
      <c r="F15" s="7" t="s">
        <v>1782</v>
      </c>
      <c r="G15" s="7" t="str">
        <f t="shared" si="3"/>
        <v>text</v>
      </c>
      <c r="H15" s="26"/>
      <c r="I15" s="10" t="s">
        <v>127</v>
      </c>
      <c r="J15" s="11"/>
      <c r="M15" s="4"/>
      <c r="N15" s="78"/>
      <c r="O15" s="78"/>
      <c r="P15" s="78" t="str">
        <f t="shared" si="4"/>
        <v>,patient_id</v>
      </c>
      <c r="Q15" s="78" t="str">
        <f t="shared" si="0"/>
        <v>TEXT</v>
      </c>
      <c r="R15" s="78" t="str">
        <f t="shared" si="1"/>
        <v/>
      </c>
      <c r="S15" s="78" t="str">
        <f t="shared" si="5"/>
        <v>NOT NULL</v>
      </c>
      <c r="T15" s="78" t="str">
        <f t="shared" si="6"/>
        <v>-- 患者ID</v>
      </c>
      <c r="U15" s="4"/>
      <c r="AA15" s="4"/>
      <c r="AB15" s="4"/>
      <c r="AC15" s="4"/>
      <c r="AD15" s="4"/>
      <c r="AE15" s="4"/>
      <c r="AF15" s="4"/>
      <c r="AG15" s="4"/>
      <c r="AH15" s="4"/>
      <c r="AI15" s="4"/>
      <c r="AJ15" s="78" t="str">
        <f>IF(E15="○",IF(COUNTA(E$13:E15)=1,"",",")&amp;D15,"")</f>
        <v>,patient_id</v>
      </c>
      <c r="AK15" s="4"/>
      <c r="AL15" s="4"/>
      <c r="AM15" s="4"/>
      <c r="AN15" s="4"/>
      <c r="AO15" s="4"/>
      <c r="AP15" s="4"/>
      <c r="AQ15" s="4"/>
      <c r="AR15" s="4"/>
      <c r="AS15" s="78" t="str">
        <f>"COMMENT ON COLUMN "&amp;エンティティ一覧!$O$2&amp;"."&amp;D$8&amp;"."&amp;D15&amp;" IS '"&amp;C15&amp;"';"</f>
        <v>COMMENT ON COLUMN milscm_2023_010.azn_202310_backup_mart_2riyo_patient_id_mml.patient_id IS '患者ID';</v>
      </c>
    </row>
    <row r="16" spans="1:45" s="25" customFormat="1">
      <c r="A16" s="4"/>
      <c r="B16" s="21">
        <f t="shared" si="2"/>
        <v>4</v>
      </c>
      <c r="C16" s="6" t="s">
        <v>1876</v>
      </c>
      <c r="D16" s="6" t="s">
        <v>990</v>
      </c>
      <c r="E16" s="8" t="s">
        <v>127</v>
      </c>
      <c r="F16" s="7" t="s">
        <v>1782</v>
      </c>
      <c r="G16" s="7" t="str">
        <f t="shared" si="3"/>
        <v>text</v>
      </c>
      <c r="H16" s="26"/>
      <c r="I16" s="10" t="s">
        <v>127</v>
      </c>
      <c r="J16" s="11" t="s">
        <v>1884</v>
      </c>
      <c r="M16" s="4"/>
      <c r="N16" s="78"/>
      <c r="O16" s="78"/>
      <c r="P16" s="78" t="str">
        <f t="shared" si="4"/>
        <v>,sex_kubun</v>
      </c>
      <c r="Q16" s="78" t="str">
        <f t="shared" si="0"/>
        <v>TEXT</v>
      </c>
      <c r="R16" s="78" t="str">
        <f t="shared" si="1"/>
        <v/>
      </c>
      <c r="S16" s="78" t="str">
        <f t="shared" si="5"/>
        <v>NOT NULL</v>
      </c>
      <c r="T16" s="78" t="str">
        <f t="shared" si="6"/>
        <v>-- 男女区分</v>
      </c>
      <c r="U16" s="4"/>
      <c r="AA16" s="4"/>
      <c r="AB16" s="4"/>
      <c r="AC16" s="4"/>
      <c r="AD16" s="4"/>
      <c r="AE16" s="4"/>
      <c r="AF16" s="4"/>
      <c r="AG16" s="4"/>
      <c r="AH16" s="4"/>
      <c r="AI16" s="4"/>
      <c r="AJ16" s="78" t="str">
        <f>IF(E16="○",IF(COUNTA(E$13:E16)=1,"",",")&amp;D16,"")</f>
        <v>,sex_kubun</v>
      </c>
      <c r="AK16" s="4"/>
      <c r="AL16" s="4"/>
      <c r="AM16" s="4"/>
      <c r="AN16" s="4"/>
      <c r="AO16" s="4"/>
      <c r="AP16" s="4"/>
      <c r="AQ16" s="4"/>
      <c r="AR16" s="4"/>
      <c r="AS16" s="78" t="str">
        <f>"COMMENT ON COLUMN "&amp;エンティティ一覧!$O$2&amp;"."&amp;D$8&amp;"."&amp;D16&amp;" IS '"&amp;C16&amp;"';"</f>
        <v>COMMENT ON COLUMN milscm_2023_010.azn_202310_backup_mart_2riyo_patient_id_mml.sex_kubun IS '男女区分';</v>
      </c>
    </row>
    <row r="17" spans="1:52" s="25" customFormat="1" ht="56.25">
      <c r="A17" s="4"/>
      <c r="B17" s="21">
        <f t="shared" si="2"/>
        <v>5</v>
      </c>
      <c r="C17" s="6" t="s">
        <v>1877</v>
      </c>
      <c r="D17" s="6" t="s">
        <v>323</v>
      </c>
      <c r="E17" s="8" t="s">
        <v>127</v>
      </c>
      <c r="F17" s="7" t="s">
        <v>1782</v>
      </c>
      <c r="G17" s="7" t="str">
        <f t="shared" si="3"/>
        <v>text</v>
      </c>
      <c r="H17" s="26"/>
      <c r="I17" s="10" t="s">
        <v>127</v>
      </c>
      <c r="J17" s="11" t="s">
        <v>1882</v>
      </c>
      <c r="M17" s="4"/>
      <c r="N17" s="78"/>
      <c r="O17" s="78"/>
      <c r="P17" s="78" t="str">
        <f t="shared" si="4"/>
        <v>,birthday</v>
      </c>
      <c r="Q17" s="78" t="str">
        <f t="shared" si="0"/>
        <v>TEXT</v>
      </c>
      <c r="R17" s="78" t="str">
        <f t="shared" si="1"/>
        <v/>
      </c>
      <c r="S17" s="78" t="str">
        <f t="shared" si="5"/>
        <v>NOT NULL</v>
      </c>
      <c r="T17" s="78" t="str">
        <f t="shared" si="6"/>
        <v>-- 生年月日</v>
      </c>
      <c r="U17" s="4"/>
      <c r="AA17" s="4"/>
      <c r="AB17" s="4"/>
      <c r="AC17" s="4"/>
      <c r="AD17" s="4"/>
      <c r="AE17" s="4"/>
      <c r="AF17" s="4"/>
      <c r="AG17" s="4"/>
      <c r="AH17" s="4"/>
      <c r="AI17" s="4"/>
      <c r="AJ17" s="78" t="str">
        <f>IF(E17="○",IF(COUNTA(E$13:E17)=1,"",",")&amp;D17,"")</f>
        <v>,birthday</v>
      </c>
      <c r="AK17" s="4"/>
      <c r="AL17" s="4"/>
      <c r="AM17" s="4"/>
      <c r="AN17" s="4"/>
      <c r="AO17" s="4"/>
      <c r="AP17" s="4"/>
      <c r="AQ17" s="4"/>
      <c r="AR17" s="4"/>
      <c r="AS17" s="78" t="str">
        <f>"COMMENT ON COLUMN "&amp;エンティティ一覧!$O$2&amp;"."&amp;D$8&amp;"."&amp;D17&amp;" IS '"&amp;C17&amp;"';"</f>
        <v>COMMENT ON COLUMN milscm_2023_010.azn_202310_backup_mart_2riyo_patient_id_mml.birthday IS '生年月日';</v>
      </c>
    </row>
    <row r="18" spans="1:52" s="25" customFormat="1" ht="56.25">
      <c r="A18" s="4"/>
      <c r="B18" s="21">
        <f t="shared" si="2"/>
        <v>6</v>
      </c>
      <c r="C18" s="6" t="s">
        <v>1323</v>
      </c>
      <c r="D18" s="6" t="s">
        <v>1324</v>
      </c>
      <c r="E18" s="8" t="s">
        <v>127</v>
      </c>
      <c r="F18" s="7" t="s">
        <v>318</v>
      </c>
      <c r="G18" s="7" t="str">
        <f t="shared" si="3"/>
        <v>text</v>
      </c>
      <c r="H18" s="26"/>
      <c r="I18" s="10" t="s">
        <v>127</v>
      </c>
      <c r="J18" s="11" t="s">
        <v>1885</v>
      </c>
      <c r="M18" s="4"/>
      <c r="N18" s="78"/>
      <c r="O18" s="78"/>
      <c r="P18" s="78" t="str">
        <f t="shared" si="4"/>
        <v>,death_flag</v>
      </c>
      <c r="Q18" s="78" t="str">
        <f t="shared" si="0"/>
        <v>TEXT</v>
      </c>
      <c r="R18" s="78" t="str">
        <f t="shared" si="1"/>
        <v/>
      </c>
      <c r="S18" s="78" t="str">
        <f>IF(I18="○","NOT NULL","")</f>
        <v>NOT NULL</v>
      </c>
      <c r="T18" s="78" t="str">
        <f>"-- "&amp;C18</f>
        <v>-- 死亡フラグ</v>
      </c>
      <c r="U18" s="4"/>
      <c r="AA18" s="4"/>
      <c r="AB18" s="4"/>
      <c r="AC18" s="4"/>
      <c r="AD18" s="4"/>
      <c r="AE18" s="4"/>
      <c r="AF18" s="4"/>
      <c r="AG18" s="4"/>
      <c r="AH18" s="4"/>
      <c r="AI18" s="4"/>
      <c r="AJ18" s="78" t="str">
        <f>IF(E18="○",IF(COUNTA(E$13:E18)=1,"",",")&amp;D18,"")</f>
        <v>,death_flag</v>
      </c>
      <c r="AK18" s="4"/>
      <c r="AL18" s="4"/>
      <c r="AM18" s="4"/>
      <c r="AN18" s="4"/>
      <c r="AO18" s="4"/>
      <c r="AP18" s="4"/>
      <c r="AQ18" s="4"/>
      <c r="AR18" s="4"/>
      <c r="AS18" s="78" t="str">
        <f>"COMMENT ON COLUMN "&amp;エンティティ一覧!$O$2&amp;"."&amp;D$8&amp;"."&amp;D18&amp;" IS '"&amp;C18&amp;"';"</f>
        <v>COMMENT ON COLUMN milscm_2023_010.azn_202310_backup_mart_2riyo_patient_id_mml.death_flag IS '死亡フラグ';</v>
      </c>
    </row>
    <row r="19" spans="1:52" s="25" customFormat="1" ht="57" thickBot="1">
      <c r="A19" s="4"/>
      <c r="B19" s="27">
        <f>ROW()-12</f>
        <v>7</v>
      </c>
      <c r="C19" s="57" t="s">
        <v>1325</v>
      </c>
      <c r="D19" s="57" t="s">
        <v>1326</v>
      </c>
      <c r="E19" s="56" t="s">
        <v>127</v>
      </c>
      <c r="F19" s="56" t="s">
        <v>318</v>
      </c>
      <c r="G19" s="56" t="str">
        <f t="shared" si="3"/>
        <v>text</v>
      </c>
      <c r="H19" s="59"/>
      <c r="I19" s="60" t="s">
        <v>127</v>
      </c>
      <c r="J19" s="64" t="s">
        <v>1886</v>
      </c>
      <c r="N19" s="78"/>
      <c r="O19" s="78"/>
      <c r="P19" s="78" t="str">
        <f t="shared" si="4"/>
        <v>,death_date</v>
      </c>
      <c r="Q19" s="78" t="str">
        <f t="shared" si="0"/>
        <v>TEXT</v>
      </c>
      <c r="R19" s="78" t="str">
        <f t="shared" si="1"/>
        <v/>
      </c>
      <c r="S19" s="78" t="str">
        <f t="shared" ref="S19" si="7">IF(I19="○","NOT NULL","")</f>
        <v>NOT NULL</v>
      </c>
      <c r="T19" s="78" t="str">
        <f t="shared" ref="T19" si="8">"-- "&amp;C19</f>
        <v>-- 死亡日時</v>
      </c>
      <c r="U19" s="4"/>
      <c r="AA19" s="4"/>
      <c r="AB19" s="4"/>
      <c r="AC19" s="4"/>
      <c r="AD19" s="4"/>
      <c r="AE19" s="4"/>
      <c r="AF19" s="4"/>
      <c r="AG19" s="4"/>
      <c r="AH19" s="4"/>
      <c r="AI19" s="4"/>
      <c r="AJ19" s="78" t="str">
        <f>IF(E19="○",IF(COUNTA(E$13:E19)=1,"",",")&amp;D19,"")</f>
        <v>,death_date</v>
      </c>
      <c r="AK19" s="4"/>
      <c r="AL19" s="4"/>
      <c r="AM19" s="4"/>
      <c r="AN19" s="4"/>
      <c r="AO19" s="4"/>
      <c r="AP19" s="4"/>
      <c r="AQ19" s="4"/>
      <c r="AR19" s="4"/>
      <c r="AS19" s="78" t="str">
        <f>"COMMENT ON COLUMN "&amp;エンティティ一覧!$O$2&amp;"."&amp;D$8&amp;"."&amp;D19&amp;" IS '"&amp;C19&amp;"';"</f>
        <v>COMMENT ON COLUMN milscm_2023_010.azn_202310_backup_mart_2riyo_patient_id_mml.death_date IS '死亡日時';</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000-000000000000}"/>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ENT_01_A1-11</v>
      </c>
      <c r="E6" s="239"/>
      <c r="F6" s="239"/>
      <c r="G6" s="239"/>
      <c r="H6" s="239"/>
      <c r="I6" s="239"/>
      <c r="J6" s="240"/>
    </row>
    <row r="7" spans="1:45">
      <c r="B7" s="228" t="s">
        <v>115</v>
      </c>
      <c r="C7" s="229"/>
      <c r="D7" s="230" t="s">
        <v>1887</v>
      </c>
      <c r="E7" s="231"/>
      <c r="F7" s="231"/>
      <c r="G7" s="231"/>
      <c r="H7" s="231"/>
      <c r="I7" s="231"/>
      <c r="J7" s="232"/>
    </row>
    <row r="8" spans="1:45">
      <c r="B8" s="228" t="s">
        <v>116</v>
      </c>
      <c r="C8" s="229"/>
      <c r="D8" s="230" t="str">
        <f>エンティティ一覧!AE2&amp;"_"&amp;D5&amp;"_mart_2riyo_patient_himoduke"</f>
        <v>azn_202310_backup_mart_2riyo_patient_himoduke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milscm_2023_010.azn_202310_backup_mart_2riyo_patient_himoduke;</v>
      </c>
      <c r="O10" s="78"/>
      <c r="P10" s="78"/>
      <c r="Q10" s="78"/>
      <c r="R10" s="78"/>
      <c r="S10" s="78"/>
      <c r="T10" s="78"/>
      <c r="AJ10" s="78" t="str">
        <f>"ALTER TABLE ONLY "&amp;エンティティ一覧!$O$2&amp;"."&amp;D$8</f>
        <v>ALTER TABLE ONLY milscm_2023_010.azn_202310_backup_mart_2riyo_patient_himoduke</v>
      </c>
      <c r="AS10" s="78" t="str">
        <f>"ALTER TABLE "&amp;エンティティ一覧!$O$2&amp;"."&amp;D$8&amp;" OWNER TO pgmisgrp1;"</f>
        <v>ALTER TABLE milscm_2023_010.azn_202310_backup_mart_2riyo_patient_himoduke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milscm_2023_010.azn_202310_backup_mart_2riyo_patient_himoduke</v>
      </c>
      <c r="O11" s="78"/>
      <c r="P11" s="78"/>
      <c r="Q11" s="78"/>
      <c r="R11" s="78"/>
      <c r="S11" s="78"/>
      <c r="T11" s="78"/>
      <c r="AJ11" s="78" t="str">
        <f>"ADD CONSTRAINT "&amp;D$8&amp;"_pkey PRIMARY KEY"</f>
        <v>ADD CONSTRAINT azn_202310_backup_mart_2riyo_patient_himoduke_pkey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milscm_2023_010.azn_202310_backup_mart_2riyo_patient_himoduke IS 'バックアップ_二次利用DB登録患者紐付けデータ';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milscm_2023_010.azn_202310_backup_mart_2riyo_patient_himoduke.facility_id IS '施設ID';</v>
      </c>
    </row>
    <row r="14" spans="1:45" s="25" customFormat="1">
      <c r="A14" s="4"/>
      <c r="B14" s="21">
        <f t="shared" ref="B14:B15" si="2">ROW()-12</f>
        <v>2</v>
      </c>
      <c r="C14" s="6" t="s">
        <v>1889</v>
      </c>
      <c r="D14" s="6" t="s">
        <v>1890</v>
      </c>
      <c r="E14" s="8" t="s">
        <v>127</v>
      </c>
      <c r="F14" s="7" t="s">
        <v>1873</v>
      </c>
      <c r="G14" s="7" t="str">
        <f t="shared" ref="G14:G16" si="3">IF(F14="フラグ","boolean",IF(F14="文字列","text",IF(F14="整数","integer",IF(F14="実数","numeric",""))))</f>
        <v>text</v>
      </c>
      <c r="H14" s="26"/>
      <c r="I14" s="10" t="s">
        <v>127</v>
      </c>
      <c r="J14" s="11" t="s">
        <v>1891</v>
      </c>
      <c r="M14" s="4"/>
      <c r="N14" s="78"/>
      <c r="O14" s="78"/>
      <c r="P14" s="78" t="str">
        <f t="shared" ref="P14:P16" si="4">IF(B14&lt;&gt;1,","&amp;D14,D14)</f>
        <v>,himoduke_id</v>
      </c>
      <c r="Q14" s="78" t="str">
        <f t="shared" si="0"/>
        <v>TEXT</v>
      </c>
      <c r="R14" s="78" t="str">
        <f t="shared" si="1"/>
        <v/>
      </c>
      <c r="S14" s="78" t="str">
        <f t="shared" ref="S14:S15" si="5">IF(I14="○","NOT NULL","")</f>
        <v>NOT NULL</v>
      </c>
      <c r="T14" s="78" t="str">
        <f t="shared" ref="T14:T15"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milscm_2023_010.azn_202310_backup_mart_2riyo_patient_himoduke.himoduke_id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milscm_2023_010.azn_202310_backup_mart_2riyo_patient_himoduke.data_type IS 'データ種別';</v>
      </c>
    </row>
    <row r="16" spans="1:45" s="25" customFormat="1" ht="19.5" thickBot="1">
      <c r="A16" s="4"/>
      <c r="B16" s="27">
        <f>ROW()-12</f>
        <v>4</v>
      </c>
      <c r="C16" s="57" t="s">
        <v>1867</v>
      </c>
      <c r="D16" s="57" t="s">
        <v>1868</v>
      </c>
      <c r="E16" s="56" t="s">
        <v>127</v>
      </c>
      <c r="F16" s="56" t="s">
        <v>1782</v>
      </c>
      <c r="G16" s="56" t="str">
        <f t="shared" si="3"/>
        <v>text</v>
      </c>
      <c r="H16" s="59"/>
      <c r="I16" s="60" t="s">
        <v>127</v>
      </c>
      <c r="J16" s="64"/>
      <c r="N16" s="78"/>
      <c r="O16" s="78"/>
      <c r="P16" s="78" t="str">
        <f t="shared" si="4"/>
        <v>,patient_id</v>
      </c>
      <c r="Q16" s="78" t="str">
        <f t="shared" si="0"/>
        <v>TEXT</v>
      </c>
      <c r="R16" s="78" t="str">
        <f t="shared" si="1"/>
        <v/>
      </c>
      <c r="S16" s="78" t="str">
        <f t="shared" ref="S16" si="7">IF(I16="○","NOT NULL","")</f>
        <v>NOT NULL</v>
      </c>
      <c r="T16" s="78" t="str">
        <f t="shared" ref="T16" si="8">"-- "&amp;C16</f>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milscm_2023_010.azn_202310_backup_mart_2riyo_patient_himoduke.patient_id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100-000000000000}"/>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ENT_01_A1-13</v>
      </c>
      <c r="E6" s="239"/>
      <c r="F6" s="239"/>
      <c r="G6" s="239"/>
      <c r="H6" s="239"/>
      <c r="I6" s="239"/>
      <c r="J6" s="240"/>
    </row>
    <row r="7" spans="1:45">
      <c r="B7" s="228" t="s">
        <v>115</v>
      </c>
      <c r="C7" s="229"/>
      <c r="D7" s="230" t="s">
        <v>1893</v>
      </c>
      <c r="E7" s="231"/>
      <c r="F7" s="231"/>
      <c r="G7" s="231"/>
      <c r="H7" s="231"/>
      <c r="I7" s="231"/>
      <c r="J7" s="232"/>
    </row>
    <row r="8" spans="1:45">
      <c r="B8" s="228" t="s">
        <v>116</v>
      </c>
      <c r="C8" s="229"/>
      <c r="D8" s="230" t="str">
        <f>エンティティ一覧!AE2&amp;"_"&amp;D5&amp;"_mart_error_patient"</f>
        <v>azn_202310_backup_mart_error_patient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エラー患者データテーブルから組入れ条件の第一条件で絞り込んだ結果を格納するテーブル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milscm_2023_010.azn_202310_backup_mart_error_patient;</v>
      </c>
      <c r="O10" s="78"/>
      <c r="P10" s="78"/>
      <c r="Q10" s="78"/>
      <c r="R10" s="78"/>
      <c r="S10" s="78"/>
      <c r="T10" s="78"/>
      <c r="AJ10" s="78" t="str">
        <f>"ALTER TABLE ONLY "&amp;エンティティ一覧!$O$2&amp;"."&amp;D$8</f>
        <v>ALTER TABLE ONLY milscm_2023_010.azn_202310_backup_mart_error_patient</v>
      </c>
      <c r="AS10" s="78" t="str">
        <f>"ALTER TABLE "&amp;エンティティ一覧!$O$2&amp;"."&amp;D$8&amp;" OWNER TO pgmisgrp1;"</f>
        <v>ALTER TABLE milscm_2023_010.azn_202310_backup_mart_error_patient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milscm_2023_010.azn_202310_backup_mart_error_patient</v>
      </c>
      <c r="O11" s="78"/>
      <c r="P11" s="78"/>
      <c r="Q11" s="78"/>
      <c r="R11" s="78"/>
      <c r="S11" s="78"/>
      <c r="T11" s="78"/>
      <c r="AJ11" s="78" t="str">
        <f>"ADD CONSTRAINT "&amp;D$8&amp;"_pkey PRIMARY KEY"</f>
        <v>ADD CONSTRAINT azn_202310_backup_mart_error_patient_pkey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milscm_2023_010.azn_202310_backup_mart_error_patient IS 'バックアップ_エラー患者データ';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16" si="0">UPPER(G13)</f>
        <v>TEXT</v>
      </c>
      <c r="R13" s="78" t="str">
        <f t="shared" ref="R13:R1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milscm_2023_010.azn_202310_backup_mart_error_patient.facility_id IS '施設ID';</v>
      </c>
    </row>
    <row r="14" spans="1:45" s="25" customFormat="1">
      <c r="A14" s="4"/>
      <c r="B14" s="21">
        <f t="shared" ref="B14:B15" si="2">ROW()-12</f>
        <v>2</v>
      </c>
      <c r="C14" s="6" t="s">
        <v>1889</v>
      </c>
      <c r="D14" s="6" t="s">
        <v>1890</v>
      </c>
      <c r="E14" s="8" t="s">
        <v>127</v>
      </c>
      <c r="F14" s="7" t="s">
        <v>1873</v>
      </c>
      <c r="G14" s="7" t="str">
        <f t="shared" ref="G14:G16" si="3">IF(F14="フラグ","boolean",IF(F14="文字列","text",IF(F14="整数","integer",IF(F14="実数","numeric",""))))</f>
        <v>text</v>
      </c>
      <c r="H14" s="26"/>
      <c r="I14" s="10" t="s">
        <v>127</v>
      </c>
      <c r="J14" s="11" t="s">
        <v>1891</v>
      </c>
      <c r="M14" s="4"/>
      <c r="N14" s="78"/>
      <c r="O14" s="78"/>
      <c r="P14" s="78" t="str">
        <f t="shared" ref="P14:P16" si="4">IF(B14&lt;&gt;1,","&amp;D14,D14)</f>
        <v>,himoduke_id</v>
      </c>
      <c r="Q14" s="78" t="str">
        <f t="shared" si="0"/>
        <v>TEXT</v>
      </c>
      <c r="R14" s="78" t="str">
        <f t="shared" si="1"/>
        <v/>
      </c>
      <c r="S14" s="78" t="str">
        <f t="shared" ref="S14:S16" si="5">IF(I14="○","NOT NULL","")</f>
        <v>NOT NULL</v>
      </c>
      <c r="T14" s="78" t="str">
        <f t="shared" ref="T14:T16"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milscm_2023_010.azn_202310_backup_mart_error_patient.himoduke_id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milscm_2023_010.azn_202310_backup_mart_error_patient.data_type IS 'データ種別';</v>
      </c>
    </row>
    <row r="16" spans="1:45" s="25" customFormat="1" ht="19.5" thickBot="1">
      <c r="A16" s="4"/>
      <c r="B16" s="27">
        <f>ROW()-12</f>
        <v>4</v>
      </c>
      <c r="C16" s="57" t="s">
        <v>1867</v>
      </c>
      <c r="D16" s="57" t="s">
        <v>1868</v>
      </c>
      <c r="E16" s="56" t="s">
        <v>127</v>
      </c>
      <c r="F16" s="56" t="s">
        <v>1782</v>
      </c>
      <c r="G16" s="56" t="str">
        <f t="shared" si="3"/>
        <v>text</v>
      </c>
      <c r="H16" s="59"/>
      <c r="I16" s="60" t="s">
        <v>127</v>
      </c>
      <c r="J16" s="64"/>
      <c r="N16" s="78"/>
      <c r="O16" s="78"/>
      <c r="P16" s="78" t="str">
        <f t="shared" si="4"/>
        <v>,patient_id</v>
      </c>
      <c r="Q16" s="78" t="str">
        <f t="shared" si="0"/>
        <v>TEXT</v>
      </c>
      <c r="R16" s="78" t="str">
        <f t="shared" si="1"/>
        <v/>
      </c>
      <c r="S16" s="78" t="str">
        <f t="shared" si="5"/>
        <v>NOT NULL</v>
      </c>
      <c r="T16" s="78" t="str">
        <f t="shared" si="6"/>
        <v>-- 患者ID</v>
      </c>
      <c r="U16" s="4"/>
      <c r="AA16" s="4"/>
      <c r="AB16" s="4"/>
      <c r="AC16" s="4"/>
      <c r="AD16" s="4"/>
      <c r="AE16" s="4"/>
      <c r="AF16" s="4"/>
      <c r="AG16" s="4"/>
      <c r="AH16" s="4"/>
      <c r="AI16" s="4"/>
      <c r="AJ16" s="78" t="str">
        <f>IF(E16="○",IF(COUNTA(E$13:E16)=1,"",",")&amp;D16,"")</f>
        <v>,patient_id</v>
      </c>
      <c r="AK16" s="4"/>
      <c r="AL16" s="4"/>
      <c r="AM16" s="4"/>
      <c r="AN16" s="4"/>
      <c r="AO16" s="4"/>
      <c r="AP16" s="4"/>
      <c r="AQ16" s="4"/>
      <c r="AR16" s="4"/>
      <c r="AS16" s="78" t="str">
        <f>"COMMENT ON COLUMN "&amp;エンティティ一覧!$O$2&amp;"."&amp;D$8&amp;"."&amp;D16&amp;" IS '"&amp;C16&amp;"';"</f>
        <v>COMMENT ON COLUMN milscm_2023_010.azn_202310_backup_mart_error_patient.patient_id IS '患者ID';</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200-000000000000}"/>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ENT_01_A1-14</v>
      </c>
      <c r="E6" s="239"/>
      <c r="F6" s="239"/>
      <c r="G6" s="239"/>
      <c r="H6" s="239"/>
      <c r="I6" s="239"/>
      <c r="J6" s="240"/>
    </row>
    <row r="7" spans="1:45">
      <c r="B7" s="228" t="s">
        <v>115</v>
      </c>
      <c r="C7" s="229"/>
      <c r="D7" s="230" t="s">
        <v>1894</v>
      </c>
      <c r="E7" s="231"/>
      <c r="F7" s="231"/>
      <c r="G7" s="231"/>
      <c r="H7" s="231"/>
      <c r="I7" s="231"/>
      <c r="J7" s="232"/>
    </row>
    <row r="8" spans="1:45">
      <c r="B8" s="228" t="s">
        <v>116</v>
      </c>
      <c r="C8" s="229"/>
      <c r="D8" s="230" t="str">
        <f>エンティティ一覧!AE2&amp;"_"&amp;D5&amp;"_mart_patient_basic"</f>
        <v>azn_202310_backup_mart_patient_basic</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患者基本データテーブルから組入れ条件の第一条件で絞り込んだ結果を格納するテーブル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milscm_2023_010.azn_202310_backup_mart_patient_basic;</v>
      </c>
      <c r="O10" s="78"/>
      <c r="P10" s="78"/>
      <c r="Q10" s="78"/>
      <c r="R10" s="78"/>
      <c r="S10" s="78"/>
      <c r="T10" s="78"/>
      <c r="AJ10" s="78" t="str">
        <f>"ALTER TABLE ONLY "&amp;エンティティ一覧!$O$2&amp;"."&amp;D$8</f>
        <v>ALTER TABLE ONLY milscm_2023_010.azn_202310_backup_mart_patient_basic</v>
      </c>
      <c r="AS10" s="78" t="str">
        <f>"ALTER TABLE "&amp;エンティティ一覧!$O$2&amp;"."&amp;D$8&amp;" OWNER TO pgmisgrp1;"</f>
        <v>ALTER TABLE milscm_2023_010.azn_202310_backup_mart_patient_basic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milscm_2023_010.azn_202310_backup_mart_patient_basic</v>
      </c>
      <c r="O11" s="78"/>
      <c r="P11" s="78"/>
      <c r="Q11" s="78"/>
      <c r="R11" s="78"/>
      <c r="S11" s="78"/>
      <c r="T11" s="78"/>
      <c r="AJ11" s="78" t="str">
        <f>"ADD CONSTRAINT "&amp;D$8&amp;"_pkey PRIMARY KEY"</f>
        <v>ADD CONSTRAINT azn_202310_backup_mart_patient_basic_pkey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milscm_2023_010.azn_202310_backup_mart_patient_basic IS 'バックアップ_患者基本データ';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milscm_2023_010.azn_202310_backup_mart_patient_basic.facility_id IS '施設ID';</v>
      </c>
    </row>
    <row r="14" spans="1:45" s="25" customFormat="1">
      <c r="A14" s="4"/>
      <c r="B14" s="21">
        <f t="shared" ref="B14:B20" si="2">ROW()-12</f>
        <v>2</v>
      </c>
      <c r="C14" s="6" t="s">
        <v>1889</v>
      </c>
      <c r="D14" s="6" t="s">
        <v>1890</v>
      </c>
      <c r="E14" s="8" t="s">
        <v>127</v>
      </c>
      <c r="F14" s="7" t="s">
        <v>1873</v>
      </c>
      <c r="G14" s="7" t="str">
        <f t="shared" ref="G14:G21" si="3">IF(F14="フラグ","boolean",IF(F14="文字列","text",IF(F14="整数","integer",IF(F14="実数","numeric",""))))</f>
        <v>text</v>
      </c>
      <c r="H14" s="26"/>
      <c r="I14" s="10" t="s">
        <v>127</v>
      </c>
      <c r="J14" s="11" t="s">
        <v>1891</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milscm_2023_010.azn_202310_backup_mart_patient_basic.himoduke_id IS '紐付けID';</v>
      </c>
    </row>
    <row r="15" spans="1:45" s="25" customFormat="1">
      <c r="A15" s="4"/>
      <c r="B15" s="21">
        <f t="shared" si="2"/>
        <v>3</v>
      </c>
      <c r="C15" s="6" t="s">
        <v>1865</v>
      </c>
      <c r="D15" s="6" t="s">
        <v>209</v>
      </c>
      <c r="E15" s="8" t="s">
        <v>127</v>
      </c>
      <c r="F15" s="7" t="s">
        <v>1866</v>
      </c>
      <c r="G15" s="7" t="str">
        <f t="shared" ref="G15:G19" si="7">IF(F15="フラグ","boolean",IF(F15="文字列","text",IF(F15="整数","integer",IF(F15="実数","numeric",""))))</f>
        <v>text</v>
      </c>
      <c r="H15" s="26"/>
      <c r="I15" s="10" t="s">
        <v>127</v>
      </c>
      <c r="J15" s="11" t="s">
        <v>1869</v>
      </c>
      <c r="M15" s="4"/>
      <c r="N15" s="78"/>
      <c r="O15" s="78"/>
      <c r="P15" s="78" t="str">
        <f t="shared" ref="P15:P19" si="8">IF(B15&lt;&gt;1,","&amp;D15,D15)</f>
        <v>,data_type</v>
      </c>
      <c r="Q15" s="78" t="str">
        <f t="shared" ref="Q15:Q19" si="9">UPPER(G15)</f>
        <v>TEXT</v>
      </c>
      <c r="R15" s="78" t="str">
        <f t="shared" ref="R15:R19" si="10">IF(H15&lt;&gt;"","default "&amp;IF(G15="text","'"&amp;H15&amp;"'",H15),"")</f>
        <v/>
      </c>
      <c r="S15" s="78" t="str">
        <f t="shared" ref="S15:S19" si="11">IF(I15="○","NOT NULL","")</f>
        <v>NOT NULL</v>
      </c>
      <c r="T15" s="78" t="str">
        <f t="shared" ref="T15:T19" si="12">"-- "&amp;C15</f>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milscm_2023_010.azn_202310_backup_mart_patient_basic.data_type IS 'データ種別';</v>
      </c>
    </row>
    <row r="16" spans="1:45" s="25" customFormat="1">
      <c r="A16" s="4"/>
      <c r="B16" s="21">
        <f t="shared" si="2"/>
        <v>4</v>
      </c>
      <c r="C16" s="6" t="s">
        <v>1871</v>
      </c>
      <c r="D16" s="6" t="s">
        <v>1872</v>
      </c>
      <c r="E16" s="8"/>
      <c r="F16" s="7" t="s">
        <v>1873</v>
      </c>
      <c r="G16" s="7" t="str">
        <f t="shared" si="7"/>
        <v>text</v>
      </c>
      <c r="H16" s="26"/>
      <c r="I16" s="10"/>
      <c r="J16" s="11" t="s">
        <v>1895</v>
      </c>
      <c r="M16" s="4"/>
      <c r="N16" s="78"/>
      <c r="O16" s="78"/>
      <c r="P16" s="78" t="str">
        <f t="shared" si="8"/>
        <v>,shinryo_ym_min</v>
      </c>
      <c r="Q16" s="78" t="str">
        <f t="shared" si="9"/>
        <v>TEXT</v>
      </c>
      <c r="R16" s="78" t="str">
        <f t="shared" si="10"/>
        <v/>
      </c>
      <c r="S16" s="78" t="str">
        <f t="shared" si="11"/>
        <v/>
      </c>
      <c r="T16" s="78" t="str">
        <f t="shared" si="12"/>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milscm_2023_010.azn_202310_backup_mart_patient_basic.shinryo_ym_min IS '診療年月_最小';</v>
      </c>
    </row>
    <row r="17" spans="1:52" s="25" customFormat="1">
      <c r="A17" s="4"/>
      <c r="B17" s="21">
        <f t="shared" si="2"/>
        <v>5</v>
      </c>
      <c r="C17" s="6" t="s">
        <v>1874</v>
      </c>
      <c r="D17" s="6" t="s">
        <v>1875</v>
      </c>
      <c r="E17" s="8"/>
      <c r="F17" s="7" t="s">
        <v>1866</v>
      </c>
      <c r="G17" s="7" t="str">
        <f t="shared" si="7"/>
        <v>text</v>
      </c>
      <c r="H17" s="26"/>
      <c r="I17" s="10"/>
      <c r="J17" s="11" t="s">
        <v>1895</v>
      </c>
      <c r="M17" s="4"/>
      <c r="N17" s="78"/>
      <c r="O17" s="78"/>
      <c r="P17" s="78" t="str">
        <f t="shared" si="8"/>
        <v>,shinryo_ym_max</v>
      </c>
      <c r="Q17" s="78" t="str">
        <f t="shared" si="9"/>
        <v>TEXT</v>
      </c>
      <c r="R17" s="78" t="str">
        <f t="shared" si="10"/>
        <v/>
      </c>
      <c r="S17" s="78" t="str">
        <f t="shared" si="11"/>
        <v/>
      </c>
      <c r="T17" s="78" t="str">
        <f t="shared" si="12"/>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milscm_2023_010.azn_202310_backup_mart_patient_basic.shinryo_ym_max IS '診療年月_最大';</v>
      </c>
    </row>
    <row r="18" spans="1:52" s="25" customFormat="1">
      <c r="A18" s="4"/>
      <c r="B18" s="21">
        <f t="shared" si="2"/>
        <v>6</v>
      </c>
      <c r="C18" s="6" t="s">
        <v>1876</v>
      </c>
      <c r="D18" s="6" t="s">
        <v>990</v>
      </c>
      <c r="E18" s="8"/>
      <c r="F18" s="7" t="s">
        <v>1782</v>
      </c>
      <c r="G18" s="7" t="str">
        <f t="shared" si="7"/>
        <v>text</v>
      </c>
      <c r="H18" s="26"/>
      <c r="I18" s="10" t="s">
        <v>127</v>
      </c>
      <c r="J18" s="11" t="s">
        <v>1896</v>
      </c>
      <c r="M18" s="4"/>
      <c r="N18" s="78"/>
      <c r="O18" s="78"/>
      <c r="P18" s="78" t="str">
        <f t="shared" si="8"/>
        <v>,sex_kubun</v>
      </c>
      <c r="Q18" s="78" t="str">
        <f t="shared" si="9"/>
        <v>TEXT</v>
      </c>
      <c r="R18" s="78" t="str">
        <f t="shared" si="10"/>
        <v/>
      </c>
      <c r="S18" s="78" t="str">
        <f t="shared" si="11"/>
        <v>NOT NULL</v>
      </c>
      <c r="T18" s="78" t="str">
        <f t="shared" si="12"/>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milscm_2023_010.azn_202310_backup_mart_patient_basic.sex_kubun IS '男女区分';</v>
      </c>
    </row>
    <row r="19" spans="1:52" s="25" customFormat="1" ht="56.25">
      <c r="A19" s="4"/>
      <c r="B19" s="21">
        <f t="shared" si="2"/>
        <v>7</v>
      </c>
      <c r="C19" s="6" t="s">
        <v>1877</v>
      </c>
      <c r="D19" s="6" t="s">
        <v>323</v>
      </c>
      <c r="E19" s="8"/>
      <c r="F19" s="7" t="s">
        <v>1782</v>
      </c>
      <c r="G19" s="7" t="str">
        <f t="shared" si="7"/>
        <v>text</v>
      </c>
      <c r="H19" s="26"/>
      <c r="I19" s="10" t="s">
        <v>127</v>
      </c>
      <c r="J19" s="11" t="s">
        <v>1897</v>
      </c>
      <c r="M19" s="4"/>
      <c r="N19" s="78"/>
      <c r="O19" s="78"/>
      <c r="P19" s="78" t="str">
        <f t="shared" si="8"/>
        <v>,birthday</v>
      </c>
      <c r="Q19" s="78" t="str">
        <f t="shared" si="9"/>
        <v>TEXT</v>
      </c>
      <c r="R19" s="78" t="str">
        <f t="shared" si="10"/>
        <v/>
      </c>
      <c r="S19" s="78" t="str">
        <f t="shared" si="11"/>
        <v>NOT NULL</v>
      </c>
      <c r="T19" s="78" t="str">
        <f t="shared" si="12"/>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milscm_2023_010.azn_202310_backup_mart_patient_basic.birthday IS '生年月日';</v>
      </c>
    </row>
    <row r="20" spans="1:52" s="25" customFormat="1" ht="75">
      <c r="A20" s="4"/>
      <c r="B20" s="21">
        <f t="shared" si="2"/>
        <v>8</v>
      </c>
      <c r="C20" s="6" t="s">
        <v>1323</v>
      </c>
      <c r="D20" s="6" t="s">
        <v>1324</v>
      </c>
      <c r="E20" s="8"/>
      <c r="F20" s="7" t="s">
        <v>318</v>
      </c>
      <c r="G20" s="7" t="str">
        <f t="shared" si="3"/>
        <v>text</v>
      </c>
      <c r="H20" s="26"/>
      <c r="I20" s="10"/>
      <c r="J20" s="11" t="s">
        <v>1898</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milscm_2023_010.azn_202310_backup_mart_patient_basic.death_flag IS '死亡フラグ';</v>
      </c>
    </row>
    <row r="21" spans="1:52" s="25" customFormat="1" ht="75.75" thickBot="1">
      <c r="A21" s="4"/>
      <c r="B21" s="27">
        <f>ROW()-12</f>
        <v>9</v>
      </c>
      <c r="C21" s="57" t="s">
        <v>1325</v>
      </c>
      <c r="D21" s="57" t="s">
        <v>1326</v>
      </c>
      <c r="E21" s="56"/>
      <c r="F21" s="56" t="s">
        <v>318</v>
      </c>
      <c r="G21" s="56" t="str">
        <f t="shared" si="3"/>
        <v>text</v>
      </c>
      <c r="H21" s="59"/>
      <c r="I21" s="60"/>
      <c r="J21" s="64" t="s">
        <v>1899</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300-000000000000}"/>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ENT_01_A3-02</v>
      </c>
      <c r="E6" s="239"/>
      <c r="F6" s="239"/>
      <c r="G6" s="239"/>
      <c r="H6" s="239"/>
      <c r="I6" s="239"/>
      <c r="J6" s="240"/>
    </row>
    <row r="7" spans="1:45">
      <c r="B7" s="228" t="s">
        <v>115</v>
      </c>
      <c r="C7" s="229"/>
      <c r="D7" s="230" t="s">
        <v>1900</v>
      </c>
      <c r="E7" s="231"/>
      <c r="F7" s="231"/>
      <c r="G7" s="231"/>
      <c r="H7" s="231"/>
      <c r="I7" s="231"/>
      <c r="J7" s="232"/>
    </row>
    <row r="8" spans="1:45">
      <c r="B8" s="228" t="s">
        <v>116</v>
      </c>
      <c r="C8" s="229"/>
      <c r="D8" s="230" t="str">
        <f>エンティティ一覧!AE2&amp;"_"&amp;D5&amp;"_mt_shisetsu_zokusei"</f>
        <v>azn_202310_backup_mt_shisetsu_zokusei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milscm_2023_010.azn_202310_backup_mt_shisetsu_zokusei;</v>
      </c>
      <c r="O10" s="78"/>
      <c r="P10" s="78"/>
      <c r="Q10" s="78"/>
      <c r="R10" s="78"/>
      <c r="S10" s="78"/>
      <c r="T10" s="78"/>
      <c r="AJ10" s="78" t="str">
        <f>"ALTER TABLE ONLY "&amp;エンティティ一覧!$O$2&amp;"."&amp;D$8</f>
        <v>ALTER TABLE ONLY milscm_2023_010.azn_202310_backup_mt_shisetsu_zokusei</v>
      </c>
      <c r="AS10" s="78" t="str">
        <f>"ALTER TABLE "&amp;エンティティ一覧!$O$2&amp;"."&amp;D$8&amp;" OWNER TO pgmisgrp1;"</f>
        <v>ALTER TABLE milscm_2023_010.azn_202310_backup_mt_shisetsu_zokusei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milscm_2023_010.azn_202310_backup_mt_shisetsu_zokusei</v>
      </c>
      <c r="O11" s="78"/>
      <c r="P11" s="78"/>
      <c r="Q11" s="78"/>
      <c r="R11" s="78"/>
      <c r="S11" s="78"/>
      <c r="T11" s="78"/>
      <c r="AJ11" s="78" t="str">
        <f>"ADD CONSTRAINT "&amp;D$8&amp;"_pkey PRIMARY KEY"</f>
        <v>ADD CONSTRAINT azn_202310_backup_mt_shisetsu_zokusei_pkey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milscm_2023_010.azn_202310_backup_mt_shisetsu_zokusei IS 'バックアップ_施設属性マスタ取込用';</v>
      </c>
    </row>
    <row r="13" spans="1:45"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t="s">
        <v>1927</v>
      </c>
      <c r="M13" s="4"/>
      <c r="N13" s="78"/>
      <c r="O13" s="78"/>
      <c r="P13" s="78" t="str">
        <f>IF(B13&lt;&gt;1,","&amp;D13,D13)</f>
        <v>facility_id</v>
      </c>
      <c r="Q13" s="78" t="str">
        <f t="shared" ref="Q13:Q26" si="0">UPPER(G13)</f>
        <v>TEXT</v>
      </c>
      <c r="R13" s="78" t="str">
        <f t="shared" ref="R13:R26"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milscm_2023_010.azn_202310_backup_mt_shisetsu_zokusei.facility_id IS '施設ID';</v>
      </c>
    </row>
    <row r="14" spans="1:45" s="25" customFormat="1">
      <c r="A14" s="4"/>
      <c r="B14" s="21">
        <f t="shared" ref="B14:B25" si="2">ROW()-12</f>
        <v>2</v>
      </c>
      <c r="C14" s="6" t="s">
        <v>1901</v>
      </c>
      <c r="D14" s="6" t="s">
        <v>1902</v>
      </c>
      <c r="E14" s="8"/>
      <c r="F14" s="7" t="s">
        <v>205</v>
      </c>
      <c r="G14" s="7" t="str">
        <f t="shared" ref="G14:G26" si="3">IF(F14="フラグ","boolean",IF(F14="文字列","text",IF(F14="整数","integer",IF(F14="実数","numeric",""))))</f>
        <v>integer</v>
      </c>
      <c r="H14" s="26">
        <v>0</v>
      </c>
      <c r="I14" s="10" t="s">
        <v>127</v>
      </c>
      <c r="J14" s="11" t="s">
        <v>1928</v>
      </c>
      <c r="M14" s="4"/>
      <c r="N14" s="78"/>
      <c r="O14" s="78"/>
      <c r="P14" s="78" t="str">
        <f t="shared" ref="P14:P26" si="4">IF(B14&lt;&gt;1,","&amp;D14,D14)</f>
        <v>,ippan_bed</v>
      </c>
      <c r="Q14" s="78" t="str">
        <f t="shared" si="0"/>
        <v>INTEGER</v>
      </c>
      <c r="R14" s="78" t="str">
        <f t="shared" si="1"/>
        <v>default 0</v>
      </c>
      <c r="S14" s="78" t="str">
        <f t="shared" ref="S14:S26" si="5">IF(I14="○","NOT NULL","")</f>
        <v>NOT NULL</v>
      </c>
      <c r="T14" s="78" t="str">
        <f t="shared" ref="T14:T26" si="6">"-- "&amp;C14</f>
        <v>-- 一般病床</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milscm_2023_010.azn_202310_backup_mt_shisetsu_zokusei.ippan_bed IS '一般病床';</v>
      </c>
    </row>
    <row r="15" spans="1:45" s="25" customFormat="1">
      <c r="A15" s="4"/>
      <c r="B15" s="21">
        <f t="shared" si="2"/>
        <v>3</v>
      </c>
      <c r="C15" s="6" t="s">
        <v>1903</v>
      </c>
      <c r="D15" s="6" t="s">
        <v>1904</v>
      </c>
      <c r="E15" s="8"/>
      <c r="F15" s="7" t="s">
        <v>205</v>
      </c>
      <c r="G15" s="7" t="str">
        <f t="shared" si="3"/>
        <v>integer</v>
      </c>
      <c r="H15" s="26">
        <v>0</v>
      </c>
      <c r="I15" s="10" t="s">
        <v>127</v>
      </c>
      <c r="J15" s="11" t="s">
        <v>1928</v>
      </c>
      <c r="M15" s="4"/>
      <c r="N15" s="78"/>
      <c r="O15" s="78"/>
      <c r="P15" s="78" t="str">
        <f t="shared" si="4"/>
        <v>,seishin_bed</v>
      </c>
      <c r="Q15" s="78" t="str">
        <f t="shared" si="0"/>
        <v>INTEGER</v>
      </c>
      <c r="R15" s="78" t="str">
        <f t="shared" si="1"/>
        <v>default 0</v>
      </c>
      <c r="S15" s="78" t="str">
        <f t="shared" si="5"/>
        <v>NOT NULL</v>
      </c>
      <c r="T15" s="78" t="str">
        <f t="shared" si="6"/>
        <v>-- 精神病床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milscm_2023_010.azn_202310_backup_mt_shisetsu_zokusei.seishin_bed IS '精神病床';</v>
      </c>
    </row>
    <row r="16" spans="1:45" s="25" customFormat="1">
      <c r="A16" s="4"/>
      <c r="B16" s="21">
        <f t="shared" si="2"/>
        <v>4</v>
      </c>
      <c r="C16" s="6" t="s">
        <v>1905</v>
      </c>
      <c r="D16" s="6" t="s">
        <v>1906</v>
      </c>
      <c r="E16" s="8"/>
      <c r="F16" s="7" t="s">
        <v>205</v>
      </c>
      <c r="G16" s="7" t="str">
        <f t="shared" si="3"/>
        <v>integer</v>
      </c>
      <c r="H16" s="26">
        <v>0</v>
      </c>
      <c r="I16" s="10" t="s">
        <v>127</v>
      </c>
      <c r="J16" s="11" t="s">
        <v>1928</v>
      </c>
      <c r="M16" s="4"/>
      <c r="N16" s="78"/>
      <c r="O16" s="78"/>
      <c r="P16" s="78" t="str">
        <f t="shared" si="4"/>
        <v>,kansen_bed</v>
      </c>
      <c r="Q16" s="78" t="str">
        <f t="shared" si="0"/>
        <v>INTEGER</v>
      </c>
      <c r="R16" s="78" t="str">
        <f t="shared" si="1"/>
        <v>default 0</v>
      </c>
      <c r="S16" s="78" t="str">
        <f t="shared" si="5"/>
        <v>NOT NULL</v>
      </c>
      <c r="T16" s="78" t="str">
        <f t="shared" si="6"/>
        <v>-- 感染症病床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milscm_2023_010.azn_202310_backup_mt_shisetsu_zokusei.kansen_bed IS '感染症病床';</v>
      </c>
    </row>
    <row r="17" spans="1:52" s="25" customFormat="1">
      <c r="A17" s="4"/>
      <c r="B17" s="21">
        <f t="shared" si="2"/>
        <v>5</v>
      </c>
      <c r="C17" s="6" t="s">
        <v>1907</v>
      </c>
      <c r="D17" s="6" t="s">
        <v>1908</v>
      </c>
      <c r="E17" s="8"/>
      <c r="F17" s="7" t="s">
        <v>205</v>
      </c>
      <c r="G17" s="7" t="str">
        <f t="shared" si="3"/>
        <v>integer</v>
      </c>
      <c r="H17" s="26">
        <v>0</v>
      </c>
      <c r="I17" s="10" t="s">
        <v>127</v>
      </c>
      <c r="J17" s="11" t="s">
        <v>1928</v>
      </c>
      <c r="M17" s="4"/>
      <c r="N17" s="78"/>
      <c r="O17" s="78"/>
      <c r="P17" s="78" t="str">
        <f t="shared" si="4"/>
        <v>,kekkaku_bed</v>
      </c>
      <c r="Q17" s="78" t="str">
        <f t="shared" si="0"/>
        <v>INTEGER</v>
      </c>
      <c r="R17" s="78" t="str">
        <f t="shared" si="1"/>
        <v>default 0</v>
      </c>
      <c r="S17" s="78" t="str">
        <f t="shared" si="5"/>
        <v>NOT NULL</v>
      </c>
      <c r="T17" s="78" t="str">
        <f t="shared" si="6"/>
        <v>-- 結核病床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milscm_2023_010.azn_202310_backup_mt_shisetsu_zokusei.kekkaku_bed IS '結核病床';</v>
      </c>
    </row>
    <row r="18" spans="1:52" s="25" customFormat="1">
      <c r="A18" s="4"/>
      <c r="B18" s="21">
        <f t="shared" si="2"/>
        <v>6</v>
      </c>
      <c r="C18" s="6" t="s">
        <v>1909</v>
      </c>
      <c r="D18" s="6" t="s">
        <v>1910</v>
      </c>
      <c r="E18" s="8"/>
      <c r="F18" s="7" t="s">
        <v>205</v>
      </c>
      <c r="G18" s="7" t="str">
        <f t="shared" si="3"/>
        <v>integer</v>
      </c>
      <c r="H18" s="26">
        <v>0</v>
      </c>
      <c r="I18" s="10" t="s">
        <v>127</v>
      </c>
      <c r="J18" s="11" t="s">
        <v>1928</v>
      </c>
      <c r="M18" s="4"/>
      <c r="N18" s="78"/>
      <c r="O18" s="78"/>
      <c r="P18" s="78" t="str">
        <f t="shared" si="4"/>
        <v>,ryouyou_bed</v>
      </c>
      <c r="Q18" s="78" t="str">
        <f t="shared" si="0"/>
        <v>INTEGER</v>
      </c>
      <c r="R18" s="78" t="str">
        <f t="shared" si="1"/>
        <v>default 0</v>
      </c>
      <c r="S18" s="78" t="str">
        <f t="shared" si="5"/>
        <v>NOT NULL</v>
      </c>
      <c r="T18" s="78" t="str">
        <f t="shared" si="6"/>
        <v>-- 療養病床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milscm_2023_010.azn_202310_backup_mt_shisetsu_zokusei.ryouyou_bed IS '療養病床';</v>
      </c>
    </row>
    <row r="19" spans="1:52" s="25" customFormat="1" ht="37.5">
      <c r="A19" s="4"/>
      <c r="B19" s="21">
        <f t="shared" si="2"/>
        <v>7</v>
      </c>
      <c r="C19" s="6" t="s">
        <v>1911</v>
      </c>
      <c r="D19" s="6" t="s">
        <v>1912</v>
      </c>
      <c r="E19" s="8"/>
      <c r="F19" s="7" t="s">
        <v>740</v>
      </c>
      <c r="G19" s="7" t="str">
        <f t="shared" si="3"/>
        <v>text</v>
      </c>
      <c r="H19" s="26">
        <v>0</v>
      </c>
      <c r="I19" s="10" t="s">
        <v>127</v>
      </c>
      <c r="J19" s="11" t="s">
        <v>1929</v>
      </c>
      <c r="M19" s="4"/>
      <c r="N19" s="78"/>
      <c r="O19" s="78"/>
      <c r="P19" s="78" t="str">
        <f t="shared" si="4"/>
        <v>,univ_hp_f</v>
      </c>
      <c r="Q19" s="78" t="str">
        <f t="shared" si="0"/>
        <v>TEXT</v>
      </c>
      <c r="R19" s="78" t="str">
        <f t="shared" si="1"/>
        <v>default '0'</v>
      </c>
      <c r="S19" s="78" t="str">
        <f t="shared" si="5"/>
        <v>NOT NULL</v>
      </c>
      <c r="T19" s="78" t="str">
        <f t="shared" si="6"/>
        <v>-- 大学病院F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milscm_2023_010.azn_202310_backup_mt_shisetsu_zokusei.univ_hp_f IS '大学病院F';</v>
      </c>
    </row>
    <row r="20" spans="1:52" s="25" customFormat="1" ht="56.25">
      <c r="A20" s="4"/>
      <c r="B20" s="21">
        <f t="shared" si="2"/>
        <v>8</v>
      </c>
      <c r="C20" s="6" t="s">
        <v>1913</v>
      </c>
      <c r="D20" s="6" t="s">
        <v>1914</v>
      </c>
      <c r="E20" s="8"/>
      <c r="F20" s="7" t="s">
        <v>740</v>
      </c>
      <c r="G20" s="7" t="str">
        <f t="shared" ref="G20:G24" si="7">IF(F20="フラグ","boolean",IF(F20="文字列","text",IF(F20="整数","integer",IF(F20="実数","numeric",""))))</f>
        <v>text</v>
      </c>
      <c r="H20" s="26">
        <v>0</v>
      </c>
      <c r="I20" s="10" t="s">
        <v>127</v>
      </c>
      <c r="J20" s="11" t="s">
        <v>1930</v>
      </c>
      <c r="M20" s="4"/>
      <c r="N20" s="78"/>
      <c r="O20" s="78"/>
      <c r="P20" s="78" t="str">
        <f t="shared" ref="P20:P24" si="8">IF(B20&lt;&gt;1,","&amp;D20,D20)</f>
        <v>,tokutei_hp_f</v>
      </c>
      <c r="Q20" s="78" t="str">
        <f t="shared" ref="Q20:Q24" si="9">UPPER(G20)</f>
        <v>TEXT</v>
      </c>
      <c r="R20" s="78" t="str">
        <f t="shared" ref="R20:R24" si="10">IF(H20&lt;&gt;"","default "&amp;IF(G20="text","'"&amp;H20&amp;"'",H20),"")</f>
        <v>default '0'</v>
      </c>
      <c r="S20" s="78" t="str">
        <f t="shared" ref="S20:S24" si="11">IF(I20="○","NOT NULL","")</f>
        <v>NOT NULL</v>
      </c>
      <c r="T20" s="78" t="str">
        <f t="shared" ref="T20:T24" si="12">"-- "&amp;C20</f>
        <v>-- 特定機能病院F</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milscm_2023_010.azn_202310_backup_mt_shisetsu_zokusei.tokutei_hp_f IS '特定機能病院F';</v>
      </c>
    </row>
    <row r="21" spans="1:52" s="25" customFormat="1" ht="112.5">
      <c r="A21" s="4"/>
      <c r="B21" s="21">
        <f t="shared" si="2"/>
        <v>9</v>
      </c>
      <c r="C21" s="6" t="s">
        <v>1915</v>
      </c>
      <c r="D21" s="6" t="s">
        <v>1916</v>
      </c>
      <c r="E21" s="8"/>
      <c r="F21" s="7" t="s">
        <v>205</v>
      </c>
      <c r="G21" s="7" t="str">
        <f t="shared" si="7"/>
        <v>integer</v>
      </c>
      <c r="H21" s="26">
        <v>0</v>
      </c>
      <c r="I21" s="10" t="s">
        <v>127</v>
      </c>
      <c r="J21" s="11" t="s">
        <v>1931</v>
      </c>
      <c r="M21" s="4"/>
      <c r="N21" s="78"/>
      <c r="O21" s="78"/>
      <c r="P21" s="78" t="str">
        <f t="shared" si="8"/>
        <v>,cancer_hp_f</v>
      </c>
      <c r="Q21" s="78" t="str">
        <f t="shared" si="9"/>
        <v>INTEGER</v>
      </c>
      <c r="R21" s="78" t="str">
        <f t="shared" si="10"/>
        <v>default 0</v>
      </c>
      <c r="S21" s="78" t="str">
        <f t="shared" si="11"/>
        <v>NOT NULL</v>
      </c>
      <c r="T21" s="78" t="str">
        <f t="shared" si="12"/>
        <v>-- がん拠点病院F</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milscm_2023_010.azn_202310_backup_mt_shisetsu_zokusei.cancer_hp_f IS 'がん拠点病院F';</v>
      </c>
    </row>
    <row r="22" spans="1:52" s="25" customFormat="1" ht="37.5">
      <c r="A22" s="4"/>
      <c r="B22" s="21">
        <f t="shared" si="2"/>
        <v>10</v>
      </c>
      <c r="C22" s="6" t="s">
        <v>1917</v>
      </c>
      <c r="D22" s="6" t="s">
        <v>1918</v>
      </c>
      <c r="E22" s="8"/>
      <c r="F22" s="7" t="s">
        <v>740</v>
      </c>
      <c r="G22" s="7" t="str">
        <f t="shared" si="7"/>
        <v>text</v>
      </c>
      <c r="H22" s="26">
        <v>0</v>
      </c>
      <c r="I22" s="10" t="s">
        <v>127</v>
      </c>
      <c r="J22" s="11" t="s">
        <v>1932</v>
      </c>
      <c r="M22" s="4"/>
      <c r="N22" s="78"/>
      <c r="O22" s="78"/>
      <c r="P22" s="78" t="str">
        <f t="shared" si="8"/>
        <v>,high_acute_care_hp_f</v>
      </c>
      <c r="Q22" s="78" t="str">
        <f t="shared" si="9"/>
        <v>TEXT</v>
      </c>
      <c r="R22" s="78" t="str">
        <f t="shared" si="10"/>
        <v>default '0'</v>
      </c>
      <c r="S22" s="78" t="str">
        <f t="shared" si="11"/>
        <v>NOT NULL</v>
      </c>
      <c r="T22" s="78" t="str">
        <f t="shared" si="12"/>
        <v>-- 高度急性期病院F</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milscm_2023_010.azn_202310_backup_mt_shisetsu_zokusei.high_acute_care_hp_f IS '高度急性期病院F';</v>
      </c>
    </row>
    <row r="23" spans="1:52" s="25" customFormat="1" ht="37.5">
      <c r="A23" s="4"/>
      <c r="B23" s="21">
        <f t="shared" si="2"/>
        <v>11</v>
      </c>
      <c r="C23" s="6" t="s">
        <v>1919</v>
      </c>
      <c r="D23" s="6" t="s">
        <v>1920</v>
      </c>
      <c r="E23" s="8"/>
      <c r="F23" s="7" t="s">
        <v>740</v>
      </c>
      <c r="G23" s="7" t="str">
        <f t="shared" si="7"/>
        <v>text</v>
      </c>
      <c r="H23" s="26">
        <v>0</v>
      </c>
      <c r="I23" s="10" t="s">
        <v>127</v>
      </c>
      <c r="J23" s="11" t="s">
        <v>1933</v>
      </c>
      <c r="M23" s="4"/>
      <c r="N23" s="78"/>
      <c r="O23" s="78"/>
      <c r="P23" s="78" t="str">
        <f t="shared" si="8"/>
        <v>,acute_care_hp_f</v>
      </c>
      <c r="Q23" s="78" t="str">
        <f t="shared" si="9"/>
        <v>TEXT</v>
      </c>
      <c r="R23" s="78" t="str">
        <f t="shared" si="10"/>
        <v>default '0'</v>
      </c>
      <c r="S23" s="78" t="str">
        <f t="shared" si="11"/>
        <v>NOT NULL</v>
      </c>
      <c r="T23" s="78" t="str">
        <f t="shared" si="12"/>
        <v>-- 急性期病院F</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milscm_2023_010.azn_202310_backup_mt_shisetsu_zokusei.acute_care_hp_f IS '急性期病院F';</v>
      </c>
    </row>
    <row r="24" spans="1:52" s="25" customFormat="1">
      <c r="A24" s="4"/>
      <c r="B24" s="21">
        <f t="shared" si="2"/>
        <v>12</v>
      </c>
      <c r="C24" s="6" t="s">
        <v>1921</v>
      </c>
      <c r="D24" s="6" t="s">
        <v>1922</v>
      </c>
      <c r="E24" s="8"/>
      <c r="F24" s="7" t="s">
        <v>740</v>
      </c>
      <c r="G24" s="7" t="str">
        <f t="shared" si="7"/>
        <v>text</v>
      </c>
      <c r="H24" s="26">
        <v>0</v>
      </c>
      <c r="I24" s="10" t="s">
        <v>127</v>
      </c>
      <c r="J24" s="11" t="s">
        <v>1934</v>
      </c>
      <c r="M24" s="4"/>
      <c r="N24" s="78"/>
      <c r="O24" s="78"/>
      <c r="P24" s="78" t="str">
        <f t="shared" si="8"/>
        <v>,mil_exit_f</v>
      </c>
      <c r="Q24" s="78" t="str">
        <f t="shared" si="9"/>
        <v>TEXT</v>
      </c>
      <c r="R24" s="78" t="str">
        <f t="shared" si="10"/>
        <v>default '0'</v>
      </c>
      <c r="S24" s="78" t="str">
        <f t="shared" si="11"/>
        <v>NOT NULL</v>
      </c>
      <c r="T24" s="78" t="str">
        <f t="shared" si="12"/>
        <v>-- 千年カルテ離脱施設フラグ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milscm_2023_010.azn_202310_backup_mt_shisetsu_zokusei.mil_exit_f IS '千年カルテ離脱施設フラグ';</v>
      </c>
    </row>
    <row r="25" spans="1:52" s="25" customFormat="1" ht="56.25">
      <c r="A25" s="4"/>
      <c r="B25" s="21">
        <f t="shared" si="2"/>
        <v>13</v>
      </c>
      <c r="C25" s="6" t="s">
        <v>1923</v>
      </c>
      <c r="D25" s="6" t="s">
        <v>1924</v>
      </c>
      <c r="E25" s="8" t="s">
        <v>127</v>
      </c>
      <c r="F25" s="7" t="s">
        <v>740</v>
      </c>
      <c r="G25" s="7" t="str">
        <f t="shared" si="3"/>
        <v>text</v>
      </c>
      <c r="H25" s="26">
        <v>999999</v>
      </c>
      <c r="I25" s="10" t="s">
        <v>127</v>
      </c>
      <c r="J25" s="11" t="s">
        <v>1935</v>
      </c>
      <c r="M25" s="4"/>
      <c r="N25" s="78"/>
      <c r="O25" s="78"/>
      <c r="P25" s="78" t="str">
        <f t="shared" si="4"/>
        <v>,torikomi_kijun_ym</v>
      </c>
      <c r="Q25" s="78" t="str">
        <f t="shared" si="0"/>
        <v>TEXT</v>
      </c>
      <c r="R25" s="78" t="str">
        <f t="shared" si="1"/>
        <v>default '999999'</v>
      </c>
      <c r="S25" s="78" t="str">
        <f t="shared" si="5"/>
        <v>NOT NULL</v>
      </c>
      <c r="T25" s="78" t="str">
        <f t="shared" si="6"/>
        <v>-- 取込基準年月</v>
      </c>
      <c r="U25" s="4"/>
      <c r="AA25" s="4"/>
      <c r="AB25" s="4"/>
      <c r="AC25" s="4"/>
      <c r="AD25" s="4"/>
      <c r="AE25" s="4"/>
      <c r="AF25" s="4"/>
      <c r="AG25" s="4"/>
      <c r="AH25" s="4"/>
      <c r="AI25" s="4"/>
      <c r="AJ25" s="78" t="str">
        <f>IF(E25="○",IF(COUNTA(E$13:E25)=1,"",",")&amp;D25,"")</f>
        <v>,torikomi_kijun_ym</v>
      </c>
      <c r="AK25" s="4"/>
      <c r="AL25" s="4"/>
      <c r="AM25" s="4"/>
      <c r="AN25" s="4"/>
      <c r="AO25" s="4"/>
      <c r="AP25" s="4"/>
      <c r="AQ25" s="4"/>
      <c r="AR25" s="4"/>
      <c r="AS25" s="78" t="str">
        <f>"COMMENT ON COLUMN "&amp;エンティティ一覧!$O$2&amp;"."&amp;D$8&amp;"."&amp;D25&amp;" IS '"&amp;C25&amp;"';"</f>
        <v>COMMENT ON COLUMN milscm_2023_010.azn_202310_backup_mt_shisetsu_zokusei.torikomi_kijun_ym IS '取込基準年月';</v>
      </c>
    </row>
    <row r="26" spans="1:52" s="25" customFormat="1" ht="19.5" thickBot="1">
      <c r="A26" s="4"/>
      <c r="B26" s="27">
        <f>ROW()-12</f>
        <v>14</v>
      </c>
      <c r="C26" s="57" t="s">
        <v>1925</v>
      </c>
      <c r="D26" s="57" t="s">
        <v>1926</v>
      </c>
      <c r="E26" s="56"/>
      <c r="F26" s="56" t="s">
        <v>740</v>
      </c>
      <c r="G26" s="56" t="str">
        <f t="shared" si="3"/>
        <v>text</v>
      </c>
      <c r="H26" s="59">
        <v>99999999</v>
      </c>
      <c r="I26" s="60" t="s">
        <v>127</v>
      </c>
      <c r="J26" s="64" t="s">
        <v>1839</v>
      </c>
      <c r="N26" s="78"/>
      <c r="O26" s="78"/>
      <c r="P26" s="78" t="str">
        <f t="shared" si="4"/>
        <v>,update_ymd</v>
      </c>
      <c r="Q26" s="78" t="str">
        <f t="shared" si="0"/>
        <v>TEXT</v>
      </c>
      <c r="R26" s="78" t="str">
        <f t="shared" si="1"/>
        <v>default '99999999'</v>
      </c>
      <c r="S26" s="78" t="str">
        <f t="shared" si="5"/>
        <v>NOT NULL</v>
      </c>
      <c r="T26" s="78" t="str">
        <f t="shared" si="6"/>
        <v>-- データ登録年月日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milscm_2023_010.azn_202310_backup_mt_shisetsu_zokusei.update_ymd IS 'データ登録年月日';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400-000000000000}"/>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ENT_01_A3-03</v>
      </c>
      <c r="E6" s="239"/>
      <c r="F6" s="239"/>
      <c r="G6" s="239"/>
      <c r="H6" s="239"/>
      <c r="I6" s="239"/>
      <c r="J6" s="240"/>
    </row>
    <row r="7" spans="1:45">
      <c r="B7" s="228" t="s">
        <v>115</v>
      </c>
      <c r="C7" s="229"/>
      <c r="D7" s="230" t="s">
        <v>1936</v>
      </c>
      <c r="E7" s="231"/>
      <c r="F7" s="231"/>
      <c r="G7" s="231"/>
      <c r="H7" s="231"/>
      <c r="I7" s="231"/>
      <c r="J7" s="232"/>
    </row>
    <row r="8" spans="1:45">
      <c r="B8" s="228" t="s">
        <v>116</v>
      </c>
      <c r="C8" s="229"/>
      <c r="D8" s="230" t="str">
        <f>エンティティ一覧!AE2&amp;"_"&amp;D5&amp;"_mt_iryouken2"</f>
        <v>azn_202310_backup_mt_iryouken2</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milscm_2023_010.azn_202310_backup_mt_iryouken2;</v>
      </c>
      <c r="O10" s="78"/>
      <c r="P10" s="78"/>
      <c r="Q10" s="78"/>
      <c r="R10" s="78"/>
      <c r="S10" s="78"/>
      <c r="T10" s="78"/>
      <c r="AJ10" s="78" t="str">
        <f>"ALTER TABLE ONLY "&amp;エンティティ一覧!$O$2&amp;"."&amp;D$8</f>
        <v>ALTER TABLE ONLY milscm_2023_010.azn_202310_backup_mt_iryouken2</v>
      </c>
      <c r="AS10" s="78" t="str">
        <f>"ALTER TABLE "&amp;エンティティ一覧!$O$2&amp;"."&amp;D$8&amp;" OWNER TO pgmisgrp1;"</f>
        <v>ALTER TABLE milscm_2023_010.azn_202310_backup_mt_iryouken2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milscm_2023_010.azn_202310_backup_mt_iryouken2</v>
      </c>
      <c r="O11" s="78"/>
      <c r="P11" s="78"/>
      <c r="Q11" s="78"/>
      <c r="R11" s="78"/>
      <c r="S11" s="78"/>
      <c r="T11" s="78"/>
      <c r="AJ11" s="78" t="str">
        <f>"ADD CONSTRAINT "&amp;D$8&amp;"_pkey PRIMARY KEY"</f>
        <v>ADD CONSTRAINT azn_202310_backup_mt_iryouken2_pkey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milscm_2023_010.azn_202310_backup_mt_iryouken2 IS 'バックアップ_二次医療圏マスタ取込用';</v>
      </c>
    </row>
    <row r="13" spans="1:45" s="25" customFormat="1" ht="37.5">
      <c r="A13" s="4"/>
      <c r="B13" s="21">
        <f>ROW()-12</f>
        <v>1</v>
      </c>
      <c r="C13" s="6" t="s">
        <v>1937</v>
      </c>
      <c r="D13" s="6" t="s">
        <v>1938</v>
      </c>
      <c r="E13" s="8"/>
      <c r="F13" s="8" t="s">
        <v>740</v>
      </c>
      <c r="G13" s="7" t="str">
        <f>IF(F13="フラグ","boolean",IF(F13="文字列","text",IF(F13="整数","integer",IF(F13="実数","numeric",""))))</f>
        <v>text</v>
      </c>
      <c r="H13" s="9"/>
      <c r="I13" s="10" t="s">
        <v>127</v>
      </c>
      <c r="J13" s="11" t="s">
        <v>1954</v>
      </c>
      <c r="M13" s="4"/>
      <c r="N13" s="78"/>
      <c r="O13" s="78"/>
      <c r="P13" s="78" t="str">
        <f>IF(B13&lt;&gt;1,","&amp;D13,D13)</f>
        <v>iryouken2_cd</v>
      </c>
      <c r="Q13" s="78" t="str">
        <f t="shared" ref="Q13:Q22" si="0">UPPER(G13)</f>
        <v>TEXT</v>
      </c>
      <c r="R13" s="78" t="str">
        <f t="shared" ref="R13:R22"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milscm_2023_010.azn_202310_backup_mt_iryouken2.iryouken2_cd IS '二次医療圏コード';</v>
      </c>
    </row>
    <row r="14" spans="1:45" s="25" customFormat="1" ht="37.5">
      <c r="A14" s="4"/>
      <c r="B14" s="21">
        <f t="shared" ref="B14:B21" si="2">ROW()-12</f>
        <v>2</v>
      </c>
      <c r="C14" s="6" t="s">
        <v>1939</v>
      </c>
      <c r="D14" s="6" t="s">
        <v>1940</v>
      </c>
      <c r="E14" s="8"/>
      <c r="F14" s="7" t="s">
        <v>740</v>
      </c>
      <c r="G14" s="7" t="str">
        <f t="shared" ref="G14:G22" si="3">IF(F14="フラグ","boolean",IF(F14="文字列","text",IF(F14="整数","integer",IF(F14="実数","numeric",""))))</f>
        <v>text</v>
      </c>
      <c r="H14" s="26"/>
      <c r="I14" s="10"/>
      <c r="J14" s="11" t="s">
        <v>1954</v>
      </c>
      <c r="M14" s="4"/>
      <c r="N14" s="78"/>
      <c r="O14" s="78"/>
      <c r="P14" s="78" t="str">
        <f t="shared" ref="P14:P22" si="4">IF(B14&lt;&gt;1,","&amp;D14,D14)</f>
        <v>,iryouken2</v>
      </c>
      <c r="Q14" s="78" t="str">
        <f t="shared" si="0"/>
        <v>TEXT</v>
      </c>
      <c r="R14" s="78" t="str">
        <f t="shared" si="1"/>
        <v/>
      </c>
      <c r="S14" s="78" t="str">
        <f t="shared" ref="S14:S22" si="5">IF(I14="○","NOT NULL","")</f>
        <v/>
      </c>
      <c r="T14" s="78" t="str">
        <f t="shared" ref="T14:T22"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milscm_2023_010.azn_202310_backup_mt_iryouken2.iryouken2 IS '二次医療圏';</v>
      </c>
    </row>
    <row r="15" spans="1:45" s="25" customFormat="1" ht="37.5">
      <c r="A15" s="4"/>
      <c r="B15" s="21">
        <f t="shared" si="2"/>
        <v>3</v>
      </c>
      <c r="C15" s="6" t="s">
        <v>1941</v>
      </c>
      <c r="D15" s="6" t="s">
        <v>1942</v>
      </c>
      <c r="E15" s="8"/>
      <c r="F15" s="7" t="s">
        <v>740</v>
      </c>
      <c r="G15" s="7" t="str">
        <f t="shared" si="3"/>
        <v>text</v>
      </c>
      <c r="H15" s="26"/>
      <c r="I15" s="10" t="s">
        <v>127</v>
      </c>
      <c r="J15" s="11" t="s">
        <v>1954</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milscm_2023_010.azn_202310_backup_mt_iryouken2.prefecture_cd IS '都道府県コード';</v>
      </c>
    </row>
    <row r="16" spans="1:45" s="25" customFormat="1" ht="37.5">
      <c r="A16" s="4"/>
      <c r="B16" s="21">
        <f t="shared" si="2"/>
        <v>4</v>
      </c>
      <c r="C16" s="6" t="s">
        <v>1943</v>
      </c>
      <c r="D16" s="6" t="s">
        <v>962</v>
      </c>
      <c r="E16" s="8"/>
      <c r="F16" s="7" t="s">
        <v>740</v>
      </c>
      <c r="G16" s="7" t="str">
        <f t="shared" si="3"/>
        <v>text</v>
      </c>
      <c r="H16" s="26"/>
      <c r="I16" s="10" t="s">
        <v>127</v>
      </c>
      <c r="J16" s="11" t="s">
        <v>1954</v>
      </c>
      <c r="M16" s="4"/>
      <c r="N16" s="78"/>
      <c r="O16" s="78"/>
      <c r="P16" s="78" t="str">
        <f t="shared" si="4"/>
        <v>,prefecture</v>
      </c>
      <c r="Q16" s="78" t="str">
        <f t="shared" si="0"/>
        <v>TEXT</v>
      </c>
      <c r="R16" s="78" t="str">
        <f t="shared" si="1"/>
        <v/>
      </c>
      <c r="S16" s="78" t="str">
        <f t="shared" si="5"/>
        <v>NOT NULL</v>
      </c>
      <c r="T16" s="78" t="str">
        <f t="shared" si="6"/>
        <v>-- 都道府県名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milscm_2023_010.azn_202310_backup_mt_iryouken2.prefecture IS '都道府県名';</v>
      </c>
    </row>
    <row r="17" spans="1:52" s="25" customFormat="1" ht="37.5">
      <c r="A17" s="4"/>
      <c r="B17" s="21">
        <f t="shared" si="2"/>
        <v>5</v>
      </c>
      <c r="C17" s="6" t="s">
        <v>1944</v>
      </c>
      <c r="D17" s="6" t="s">
        <v>1945</v>
      </c>
      <c r="E17" s="8" t="s">
        <v>127</v>
      </c>
      <c r="F17" s="7" t="s">
        <v>740</v>
      </c>
      <c r="G17" s="7" t="str">
        <f t="shared" si="3"/>
        <v>text</v>
      </c>
      <c r="H17" s="26"/>
      <c r="I17" s="10" t="s">
        <v>127</v>
      </c>
      <c r="J17" s="11" t="s">
        <v>1954</v>
      </c>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milscm_2023_010.azn_202310_backup_mt_iryouken2.city_code IS '市区町村コード';</v>
      </c>
    </row>
    <row r="18" spans="1:52" s="25" customFormat="1" ht="37.5">
      <c r="A18" s="4"/>
      <c r="B18" s="21">
        <f t="shared" si="2"/>
        <v>6</v>
      </c>
      <c r="C18" s="6" t="s">
        <v>1946</v>
      </c>
      <c r="D18" s="6" t="s">
        <v>1947</v>
      </c>
      <c r="E18" s="8"/>
      <c r="F18" s="7" t="s">
        <v>740</v>
      </c>
      <c r="G18" s="7" t="str">
        <f t="shared" si="3"/>
        <v>text</v>
      </c>
      <c r="H18" s="26"/>
      <c r="I18" s="10" t="s">
        <v>127</v>
      </c>
      <c r="J18" s="11" t="s">
        <v>1954</v>
      </c>
      <c r="M18" s="4"/>
      <c r="N18" s="78"/>
      <c r="O18" s="78"/>
      <c r="P18" s="78" t="str">
        <f t="shared" si="4"/>
        <v>,city</v>
      </c>
      <c r="Q18" s="78" t="str">
        <f t="shared" si="0"/>
        <v>TEXT</v>
      </c>
      <c r="R18" s="78" t="str">
        <f t="shared" si="1"/>
        <v/>
      </c>
      <c r="S18" s="78" t="str">
        <f t="shared" si="5"/>
        <v>NOT NULL</v>
      </c>
      <c r="T18" s="78" t="str">
        <f t="shared" si="6"/>
        <v>-- 市区町村</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milscm_2023_010.azn_202310_backup_mt_iryouken2.city IS '市区町村';</v>
      </c>
    </row>
    <row r="19" spans="1:52" s="25" customFormat="1" ht="37.5">
      <c r="A19" s="4"/>
      <c r="B19" s="21">
        <f t="shared" si="2"/>
        <v>7</v>
      </c>
      <c r="C19" s="6" t="s">
        <v>1948</v>
      </c>
      <c r="D19" s="6" t="s">
        <v>1949</v>
      </c>
      <c r="E19" s="8"/>
      <c r="F19" s="7" t="s">
        <v>740</v>
      </c>
      <c r="G19" s="7" t="str">
        <f t="shared" si="3"/>
        <v>text</v>
      </c>
      <c r="H19" s="26">
        <v>0</v>
      </c>
      <c r="I19" s="10" t="s">
        <v>127</v>
      </c>
      <c r="J19" s="11" t="s">
        <v>1954</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milscm_2023_010.azn_202310_backup_mt_iryouken2.del_f IS '削除フラグ';</v>
      </c>
    </row>
    <row r="20" spans="1:52" s="25" customFormat="1" ht="56.25">
      <c r="A20" s="4"/>
      <c r="B20" s="21">
        <f t="shared" si="2"/>
        <v>8</v>
      </c>
      <c r="C20" s="6" t="s">
        <v>1925</v>
      </c>
      <c r="D20" s="6" t="s">
        <v>1926</v>
      </c>
      <c r="E20" s="8" t="s">
        <v>127</v>
      </c>
      <c r="F20" s="7" t="s">
        <v>740</v>
      </c>
      <c r="G20" s="7" t="str">
        <f t="shared" si="3"/>
        <v>text</v>
      </c>
      <c r="H20" s="26">
        <v>99999999</v>
      </c>
      <c r="I20" s="10" t="s">
        <v>127</v>
      </c>
      <c r="J20" s="11" t="s">
        <v>1955</v>
      </c>
      <c r="M20" s="4"/>
      <c r="N20" s="78"/>
      <c r="O20" s="78"/>
      <c r="P20" s="78" t="str">
        <f t="shared" si="4"/>
        <v>,update_ymd</v>
      </c>
      <c r="Q20" s="78" t="str">
        <f t="shared" si="0"/>
        <v>TEXT</v>
      </c>
      <c r="R20" s="78" t="str">
        <f t="shared" si="1"/>
        <v>default '99999999'</v>
      </c>
      <c r="S20" s="78" t="str">
        <f t="shared" si="5"/>
        <v>NOT NULL</v>
      </c>
      <c r="T20" s="78" t="str">
        <f t="shared" si="6"/>
        <v>-- データ登録年月日</v>
      </c>
      <c r="U20" s="4"/>
      <c r="AA20" s="4"/>
      <c r="AB20" s="4"/>
      <c r="AC20" s="4"/>
      <c r="AD20" s="4"/>
      <c r="AE20" s="4"/>
      <c r="AF20" s="4"/>
      <c r="AG20" s="4"/>
      <c r="AH20" s="4"/>
      <c r="AI20" s="4"/>
      <c r="AJ20" s="78" t="str">
        <f>IF(E20="○",IF(COUNTA(E$13:E20)=1,"",",")&amp;D20,"")</f>
        <v>,update_ymd</v>
      </c>
      <c r="AK20" s="4"/>
      <c r="AL20" s="4"/>
      <c r="AM20" s="4"/>
      <c r="AN20" s="4"/>
      <c r="AO20" s="4"/>
      <c r="AP20" s="4"/>
      <c r="AQ20" s="4"/>
      <c r="AR20" s="4"/>
      <c r="AS20" s="78" t="str">
        <f>"COMMENT ON COLUMN "&amp;エンティティ一覧!$O$2&amp;"."&amp;D$8&amp;"."&amp;D20&amp;" IS '"&amp;C20&amp;"';"</f>
        <v>COMMENT ON COLUMN milscm_2023_010.azn_202310_backup_mt_iryouken2.update_ymd IS 'データ登録年月日';</v>
      </c>
    </row>
    <row r="21" spans="1:52" s="25" customFormat="1" ht="56.25">
      <c r="A21" s="4"/>
      <c r="B21" s="21">
        <f t="shared" si="2"/>
        <v>9</v>
      </c>
      <c r="C21" s="6" t="s">
        <v>1950</v>
      </c>
      <c r="D21" s="6" t="s">
        <v>1951</v>
      </c>
      <c r="E21" s="8"/>
      <c r="F21" s="7" t="s">
        <v>740</v>
      </c>
      <c r="G21" s="7" t="str">
        <f t="shared" si="3"/>
        <v>text</v>
      </c>
      <c r="H21" s="26">
        <v>99999999</v>
      </c>
      <c r="I21" s="10" t="s">
        <v>127</v>
      </c>
      <c r="J21" s="11" t="s">
        <v>1955</v>
      </c>
      <c r="M21" s="4"/>
      <c r="N21" s="78"/>
      <c r="O21" s="78"/>
      <c r="P21" s="78" t="str">
        <f t="shared" si="4"/>
        <v>,henkou_ymd</v>
      </c>
      <c r="Q21" s="78" t="str">
        <f t="shared" si="0"/>
        <v>TEXT</v>
      </c>
      <c r="R21" s="78" t="str">
        <f t="shared" si="1"/>
        <v>default '99999999'</v>
      </c>
      <c r="S21" s="78" t="str">
        <f t="shared" si="5"/>
        <v>NOT NULL</v>
      </c>
      <c r="T21" s="78" t="str">
        <f t="shared" si="6"/>
        <v>-- 変更年月日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milscm_2023_010.azn_202310_backup_mt_iryouken2.henkou_ymd IS '変更年月日';</v>
      </c>
    </row>
    <row r="22" spans="1:52" s="25" customFormat="1" ht="57" thickBot="1">
      <c r="A22" s="4"/>
      <c r="B22" s="27">
        <f>ROW()-12</f>
        <v>10</v>
      </c>
      <c r="C22" s="57" t="s">
        <v>1952</v>
      </c>
      <c r="D22" s="57" t="s">
        <v>1953</v>
      </c>
      <c r="E22" s="56"/>
      <c r="F22" s="56" t="s">
        <v>740</v>
      </c>
      <c r="G22" s="56" t="str">
        <f t="shared" si="3"/>
        <v>text</v>
      </c>
      <c r="H22" s="59">
        <v>99999999</v>
      </c>
      <c r="I22" s="60" t="s">
        <v>127</v>
      </c>
      <c r="J22" s="64" t="s">
        <v>1955</v>
      </c>
      <c r="N22" s="78"/>
      <c r="O22" s="78"/>
      <c r="P22" s="78" t="str">
        <f t="shared" si="4"/>
        <v>,del_ymd</v>
      </c>
      <c r="Q22" s="78" t="str">
        <f t="shared" si="0"/>
        <v>TEXT</v>
      </c>
      <c r="R22" s="78" t="str">
        <f t="shared" si="1"/>
        <v>default '99999999'</v>
      </c>
      <c r="S22" s="78" t="str">
        <f t="shared" si="5"/>
        <v>NOT NULL</v>
      </c>
      <c r="T22" s="78" t="str">
        <f t="shared" si="6"/>
        <v>-- 廃止年月日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milscm_2023_010.azn_202310_backup_mt_iryouken2.del_ymd IS '廃止年月日';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500-000000000000}"/>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ENT_01_A3-04</v>
      </c>
      <c r="E6" s="239"/>
      <c r="F6" s="239"/>
      <c r="G6" s="239"/>
      <c r="H6" s="239"/>
      <c r="I6" s="239"/>
      <c r="J6" s="240"/>
    </row>
    <row r="7" spans="1:45">
      <c r="B7" s="228" t="s">
        <v>115</v>
      </c>
      <c r="C7" s="229"/>
      <c r="D7" s="230" t="s">
        <v>1956</v>
      </c>
      <c r="E7" s="231"/>
      <c r="F7" s="231"/>
      <c r="G7" s="231"/>
      <c r="H7" s="231"/>
      <c r="I7" s="231"/>
      <c r="J7" s="232"/>
    </row>
    <row r="8" spans="1:45">
      <c r="B8" s="228" t="s">
        <v>116</v>
      </c>
      <c r="C8" s="229"/>
      <c r="D8" s="230" t="str">
        <f>エンティティ一覧!AE2&amp;"_"&amp;D5&amp;"_mt_old_new_iyakuhin"</f>
        <v>azn_202310_backup_mt_old_new_iyakuhin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milscm_2023_010.azn_202310_backup_mt_old_new_iyakuhin;</v>
      </c>
      <c r="O10" s="78"/>
      <c r="P10" s="78"/>
      <c r="Q10" s="78"/>
      <c r="R10" s="78"/>
      <c r="S10" s="78"/>
      <c r="T10" s="78"/>
      <c r="AJ10" s="78" t="str">
        <f>"ALTER TABLE ONLY "&amp;エンティティ一覧!$O$2&amp;"."&amp;D$8</f>
        <v>ALTER TABLE ONLY milscm_2023_010.azn_202310_backup_mt_old_new_iyakuhin</v>
      </c>
      <c r="AS10" s="78" t="str">
        <f>"ALTER TABLE "&amp;エンティティ一覧!$O$2&amp;"."&amp;D$8&amp;" OWNER TO pgmisgrp1;"</f>
        <v>ALTER TABLE milscm_2023_010.azn_202310_backup_mt_old_new_iyakuhin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milscm_2023_010.azn_202310_backup_mt_old_new_iyakuhin</v>
      </c>
      <c r="O11" s="78"/>
      <c r="P11" s="78"/>
      <c r="Q11" s="78"/>
      <c r="R11" s="78"/>
      <c r="S11" s="78"/>
      <c r="T11" s="78"/>
      <c r="AJ11" s="78" t="str">
        <f>"ADD CONSTRAINT "&amp;D$8&amp;"_pkey PRIMARY KEY"</f>
        <v>ADD CONSTRAINT azn_202310_backup_mt_old_new_iyakuhin_pkey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milscm_2023_010.azn_202310_backup_mt_old_new_iyakuhin IS 'バックアップ_新旧医薬品コードマスタ取込用';</v>
      </c>
    </row>
    <row r="13" spans="1:45" s="25" customFormat="1" ht="37.5">
      <c r="A13" s="4"/>
      <c r="B13" s="21">
        <f>ROW()-12</f>
        <v>1</v>
      </c>
      <c r="C13" s="6" t="s">
        <v>1958</v>
      </c>
      <c r="D13" s="6" t="s">
        <v>1959</v>
      </c>
      <c r="E13" s="8" t="s">
        <v>127</v>
      </c>
      <c r="F13" s="8" t="s">
        <v>740</v>
      </c>
      <c r="G13" s="7" t="str">
        <f>IF(F13="フラグ","boolean",IF(F13="文字列","text",IF(F13="整数","integer",IF(F13="実数","numeric",""))))</f>
        <v>text</v>
      </c>
      <c r="H13" s="9" t="s">
        <v>1965</v>
      </c>
      <c r="I13" s="10" t="s">
        <v>127</v>
      </c>
      <c r="J13" s="11" t="s">
        <v>1966</v>
      </c>
      <c r="M13" s="4"/>
      <c r="N13" s="78"/>
      <c r="O13" s="78"/>
      <c r="P13" s="78" t="str">
        <f>IF(B13&lt;&gt;1,","&amp;D13,D13)</f>
        <v>siko_ymd</v>
      </c>
      <c r="Q13" s="78" t="str">
        <f t="shared" ref="Q13:Q16" si="0">UPPER(G13)</f>
        <v>TEXT</v>
      </c>
      <c r="R13" s="78" t="str">
        <f t="shared" ref="R13:R16"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milscm_2023_010.azn_202310_backup_mt_old_new_iyakuhin.siko_ymd IS '施行年月日';</v>
      </c>
    </row>
    <row r="14" spans="1:45" s="25" customFormat="1" ht="37.5">
      <c r="A14" s="4"/>
      <c r="B14" s="21">
        <f t="shared" ref="B14:B15" si="2">ROW()-12</f>
        <v>2</v>
      </c>
      <c r="C14" s="6" t="s">
        <v>1960</v>
      </c>
      <c r="D14" s="6" t="s">
        <v>1961</v>
      </c>
      <c r="E14" s="8" t="s">
        <v>127</v>
      </c>
      <c r="F14" s="7" t="s">
        <v>740</v>
      </c>
      <c r="G14" s="7" t="str">
        <f t="shared" ref="G14:G16" si="3">IF(F14="フラグ","boolean",IF(F14="文字列","text",IF(F14="整数","integer",IF(F14="実数","numeric",""))))</f>
        <v>text</v>
      </c>
      <c r="H14" s="26"/>
      <c r="I14" s="10" t="s">
        <v>127</v>
      </c>
      <c r="J14" s="11" t="s">
        <v>1967</v>
      </c>
      <c r="M14" s="4"/>
      <c r="N14" s="78"/>
      <c r="O14" s="78"/>
      <c r="P14" s="78" t="str">
        <f t="shared" ref="P14:P16" si="4">IF(B14&lt;&gt;1,","&amp;D14,D14)</f>
        <v>,old_iyakuhin_cd</v>
      </c>
      <c r="Q14" s="78" t="str">
        <f t="shared" si="0"/>
        <v>TEXT</v>
      </c>
      <c r="R14" s="78" t="str">
        <f t="shared" si="1"/>
        <v/>
      </c>
      <c r="S14" s="78" t="str">
        <f t="shared" ref="S14:S16" si="5">IF(I14="○","NOT NULL","")</f>
        <v>NOT NULL</v>
      </c>
      <c r="T14" s="78" t="str">
        <f t="shared" ref="T14:T16" si="6">"-- "&amp;C14</f>
        <v>-- 旧医薬品コード</v>
      </c>
      <c r="U14" s="4"/>
      <c r="AA14" s="4"/>
      <c r="AB14" s="4"/>
      <c r="AC14" s="4"/>
      <c r="AD14" s="4"/>
      <c r="AE14" s="4"/>
      <c r="AF14" s="4"/>
      <c r="AG14" s="4"/>
      <c r="AH14" s="4"/>
      <c r="AI14" s="4"/>
      <c r="AJ14" s="78" t="str">
        <f>IF(E14="○",IF(COUNTA(E$13:E14)=1,"",",")&amp;D14,"")</f>
        <v>,old_iyakuhin_cd</v>
      </c>
      <c r="AK14" s="4"/>
      <c r="AL14" s="4"/>
      <c r="AM14" s="4"/>
      <c r="AN14" s="4"/>
      <c r="AO14" s="4"/>
      <c r="AP14" s="4"/>
      <c r="AQ14" s="4"/>
      <c r="AR14" s="4"/>
      <c r="AS14" s="78" t="str">
        <f>"COMMENT ON COLUMN "&amp;エンティティ一覧!$O$2&amp;"."&amp;D$8&amp;"."&amp;D14&amp;" IS '"&amp;C14&amp;"';"</f>
        <v>COMMENT ON COLUMN milscm_2023_010.azn_202310_backup_mt_old_new_iyakuhin.old_iyakuhin_cd IS '旧医薬品コード';</v>
      </c>
    </row>
    <row r="15" spans="1:45" s="25" customFormat="1" ht="37.5">
      <c r="A15" s="4"/>
      <c r="B15" s="21">
        <f t="shared" si="2"/>
        <v>3</v>
      </c>
      <c r="C15" s="6" t="s">
        <v>1962</v>
      </c>
      <c r="D15" s="6" t="s">
        <v>1963</v>
      </c>
      <c r="E15" s="8" t="s">
        <v>127</v>
      </c>
      <c r="F15" s="7" t="s">
        <v>740</v>
      </c>
      <c r="G15" s="7" t="str">
        <f t="shared" si="3"/>
        <v>text</v>
      </c>
      <c r="H15" s="26"/>
      <c r="I15" s="10" t="s">
        <v>127</v>
      </c>
      <c r="J15" s="11" t="s">
        <v>1968</v>
      </c>
      <c r="M15" s="4"/>
      <c r="N15" s="78"/>
      <c r="O15" s="78"/>
      <c r="P15" s="78" t="str">
        <f t="shared" si="4"/>
        <v>,new_iyakuhin_cd</v>
      </c>
      <c r="Q15" s="78" t="str">
        <f t="shared" si="0"/>
        <v>TEXT</v>
      </c>
      <c r="R15" s="78" t="str">
        <f t="shared" si="1"/>
        <v/>
      </c>
      <c r="S15" s="78" t="str">
        <f t="shared" si="5"/>
        <v>NOT NULL</v>
      </c>
      <c r="T15" s="78" t="str">
        <f t="shared" si="6"/>
        <v>-- 新医薬品コード</v>
      </c>
      <c r="U15" s="4"/>
      <c r="AA15" s="4"/>
      <c r="AB15" s="4"/>
      <c r="AC15" s="4"/>
      <c r="AD15" s="4"/>
      <c r="AE15" s="4"/>
      <c r="AF15" s="4"/>
      <c r="AG15" s="4"/>
      <c r="AH15" s="4"/>
      <c r="AI15" s="4"/>
      <c r="AJ15" s="78" t="str">
        <f>IF(E15="○",IF(COUNTA(E$13:E15)=1,"",",")&amp;D15,"")</f>
        <v>,new_iyakuhin_cd</v>
      </c>
      <c r="AK15" s="4"/>
      <c r="AL15" s="4"/>
      <c r="AM15" s="4"/>
      <c r="AN15" s="4"/>
      <c r="AO15" s="4"/>
      <c r="AP15" s="4"/>
      <c r="AQ15" s="4"/>
      <c r="AR15" s="4"/>
      <c r="AS15" s="78" t="str">
        <f>"COMMENT ON COLUMN "&amp;エンティティ一覧!$O$2&amp;"."&amp;D$8&amp;"."&amp;D15&amp;" IS '"&amp;C15&amp;"';"</f>
        <v>COMMENT ON COLUMN milscm_2023_010.azn_202310_backup_mt_old_new_iyakuhin.new_iyakuhin_cd IS '新医薬品コード';</v>
      </c>
    </row>
    <row r="16" spans="1:45" s="25" customFormat="1" ht="38.25" thickBot="1">
      <c r="A16" s="4"/>
      <c r="B16" s="27">
        <f>ROW()-12</f>
        <v>4</v>
      </c>
      <c r="C16" s="57" t="s">
        <v>1964</v>
      </c>
      <c r="D16" s="57" t="s">
        <v>1926</v>
      </c>
      <c r="E16" s="56"/>
      <c r="F16" s="56" t="s">
        <v>740</v>
      </c>
      <c r="G16" s="56" t="str">
        <f t="shared" si="3"/>
        <v>text</v>
      </c>
      <c r="H16" s="59">
        <v>99999999</v>
      </c>
      <c r="I16" s="60" t="s">
        <v>127</v>
      </c>
      <c r="J16" s="64" t="s">
        <v>1969</v>
      </c>
      <c r="N16" s="78"/>
      <c r="O16" s="78"/>
      <c r="P16" s="78" t="str">
        <f t="shared" si="4"/>
        <v>,update_ymd</v>
      </c>
      <c r="Q16" s="78" t="str">
        <f t="shared" si="0"/>
        <v>TEXT</v>
      </c>
      <c r="R16" s="78" t="str">
        <f t="shared" si="1"/>
        <v>default '99999999'</v>
      </c>
      <c r="S16" s="78" t="str">
        <f t="shared" si="5"/>
        <v>NOT NULL</v>
      </c>
      <c r="T16" s="78" t="str">
        <f t="shared" si="6"/>
        <v>-- データ登録年月日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milscm_2023_010.azn_202310_backup_mt_old_new_iyakuhin.update_ymd IS 'データ登録年月日';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600-000000000000}"/>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ENT_01_A3-05</v>
      </c>
      <c r="E6" s="239"/>
      <c r="F6" s="239"/>
      <c r="G6" s="239"/>
      <c r="H6" s="239"/>
      <c r="I6" s="239"/>
      <c r="J6" s="240"/>
    </row>
    <row r="7" spans="1:45">
      <c r="B7" s="228" t="s">
        <v>115</v>
      </c>
      <c r="C7" s="229"/>
      <c r="D7" s="230" t="s">
        <v>1970</v>
      </c>
      <c r="E7" s="231"/>
      <c r="F7" s="231"/>
      <c r="G7" s="231"/>
      <c r="H7" s="231"/>
      <c r="I7" s="231"/>
      <c r="J7" s="232"/>
    </row>
    <row r="8" spans="1:45">
      <c r="B8" s="228" t="s">
        <v>116</v>
      </c>
      <c r="C8" s="229"/>
      <c r="D8" s="230" t="str">
        <f>エンティティ一覧!AE2&amp;"_"&amp;D5&amp;"_mt_dpc6_icd"</f>
        <v>azn_202310_backup_mt_dpc6_icd</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milscm_2023_010.azn_202310_backup_mt_dpc6_icd;</v>
      </c>
      <c r="O10" s="78"/>
      <c r="P10" s="78"/>
      <c r="Q10" s="78"/>
      <c r="R10" s="78"/>
      <c r="S10" s="78"/>
      <c r="T10" s="78"/>
      <c r="AJ10" s="78" t="str">
        <f>"ALTER TABLE ONLY "&amp;エンティティ一覧!$O$2&amp;"."&amp;D$8</f>
        <v>ALTER TABLE ONLY milscm_2023_010.azn_202310_backup_mt_dpc6_icd</v>
      </c>
      <c r="AS10" s="78" t="str">
        <f>"ALTER TABLE "&amp;エンティティ一覧!$O$2&amp;"."&amp;D$8&amp;" OWNER TO pgmisgrp1;"</f>
        <v>ALTER TABLE milscm_2023_010.azn_202310_backup_mt_dpc6_icd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milscm_2023_010.azn_202310_backup_mt_dpc6_icd</v>
      </c>
      <c r="O11" s="78"/>
      <c r="P11" s="78"/>
      <c r="Q11" s="78"/>
      <c r="R11" s="78"/>
      <c r="S11" s="78"/>
      <c r="T11" s="78"/>
      <c r="AJ11" s="78" t="str">
        <f>"ADD CONSTRAINT "&amp;D$8&amp;"_pkey PRIMARY KEY"</f>
        <v>ADD CONSTRAINT azn_202310_backup_mt_dpc6_icd_pkey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milscm_2023_010.azn_202310_backup_mt_dpc6_icd IS 'バックアップ_DPC6ICD10対応表マスタ取込用';</v>
      </c>
    </row>
    <row r="13" spans="1:45" s="25" customFormat="1" ht="56.25">
      <c r="A13" s="4"/>
      <c r="B13" s="21">
        <f>ROW()-12</f>
        <v>1</v>
      </c>
      <c r="C13" s="6" t="s">
        <v>1958</v>
      </c>
      <c r="D13" s="6" t="s">
        <v>1959</v>
      </c>
      <c r="E13" s="8" t="s">
        <v>127</v>
      </c>
      <c r="F13" s="8" t="s">
        <v>740</v>
      </c>
      <c r="G13" s="7" t="str">
        <f>IF(F13="フラグ","boolean",IF(F13="文字列","text",IF(F13="整数","integer",IF(F13="実数","numeric",""))))</f>
        <v>text</v>
      </c>
      <c r="H13" s="9">
        <v>99999999</v>
      </c>
      <c r="I13" s="10" t="s">
        <v>127</v>
      </c>
      <c r="J13" s="11" t="s">
        <v>1984</v>
      </c>
      <c r="M13" s="4"/>
      <c r="N13" s="78"/>
      <c r="O13" s="78"/>
      <c r="P13" s="78" t="str">
        <f>IF(B13&lt;&gt;1,","&amp;D13,D13)</f>
        <v>siko_ymd</v>
      </c>
      <c r="Q13" s="78" t="str">
        <f t="shared" ref="Q13:Q21" si="0">UPPER(G13)</f>
        <v>TEXT</v>
      </c>
      <c r="R13" s="78" t="str">
        <f t="shared" ref="R13:R21" si="1">IF(H13&lt;&gt;"","default "&amp;IF(G13="text","'"&amp;H13&amp;"'",H13),"")</f>
        <v>default '99999999'</v>
      </c>
      <c r="S13" s="78" t="str">
        <f>IF(I13="○","NOT NULL","")</f>
        <v>NOT NULL</v>
      </c>
      <c r="T13" s="78" t="str">
        <f>"-- "&amp;C13</f>
        <v>-- 施行年月日</v>
      </c>
      <c r="U13" s="4"/>
      <c r="AA13" s="4"/>
      <c r="AB13" s="4"/>
      <c r="AC13" s="4"/>
      <c r="AD13" s="4"/>
      <c r="AE13" s="4"/>
      <c r="AF13" s="4"/>
      <c r="AG13" s="4"/>
      <c r="AH13" s="4"/>
      <c r="AI13" s="4"/>
      <c r="AJ13" s="78" t="str">
        <f>IF(E13="○",IF(COUNTA(E$13:E13)=1,"",",")&amp;D13,"")</f>
        <v>siko_ymd</v>
      </c>
      <c r="AK13" s="4"/>
      <c r="AL13" s="4"/>
      <c r="AM13" s="4"/>
      <c r="AN13" s="4"/>
      <c r="AO13" s="4"/>
      <c r="AP13" s="4"/>
      <c r="AQ13" s="4"/>
      <c r="AR13" s="4"/>
      <c r="AS13" s="78" t="str">
        <f>"COMMENT ON COLUMN "&amp;エンティティ一覧!$O$2&amp;"."&amp;D$8&amp;"."&amp;D13&amp;" IS '"&amp;C13&amp;"';"</f>
        <v>COMMENT ON COLUMN milscm_2023_010.azn_202310_backup_mt_dpc6_icd.siko_ymd IS '施行年月日';</v>
      </c>
    </row>
    <row r="14" spans="1:45" s="25" customFormat="1" ht="150">
      <c r="A14" s="4"/>
      <c r="B14" s="21">
        <f t="shared" ref="B14:B20" si="2">ROW()-12</f>
        <v>2</v>
      </c>
      <c r="C14" s="6" t="s">
        <v>1971</v>
      </c>
      <c r="D14" s="6" t="s">
        <v>1972</v>
      </c>
      <c r="E14" s="8" t="s">
        <v>127</v>
      </c>
      <c r="F14" s="7" t="s">
        <v>1782</v>
      </c>
      <c r="G14" s="7" t="str">
        <f t="shared" ref="G14:G21" si="3">IF(F14="フラグ","boolean",IF(F14="文字列","text",IF(F14="整数","integer",IF(F14="実数","numeric",""))))</f>
        <v>text</v>
      </c>
      <c r="H14" s="26"/>
      <c r="I14" s="10" t="s">
        <v>127</v>
      </c>
      <c r="J14" s="11" t="s">
        <v>1985</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,henkou_kubun</v>
      </c>
      <c r="AK14" s="4"/>
      <c r="AL14" s="4"/>
      <c r="AM14" s="4"/>
      <c r="AN14" s="4"/>
      <c r="AO14" s="4"/>
      <c r="AP14" s="4"/>
      <c r="AQ14" s="4"/>
      <c r="AR14" s="4"/>
      <c r="AS14" s="78" t="str">
        <f>"COMMENT ON COLUMN "&amp;エンティティ一覧!$O$2&amp;"."&amp;D$8&amp;"."&amp;D14&amp;" IS '"&amp;C14&amp;"';"</f>
        <v>COMMENT ON COLUMN milscm_2023_010.azn_202310_backup_mt_dpc6_icd.henkou_kubun IS '変更区分';</v>
      </c>
    </row>
    <row r="15" spans="1:45" s="25" customFormat="1" ht="37.5">
      <c r="A15" s="4"/>
      <c r="B15" s="21">
        <f t="shared" si="2"/>
        <v>3</v>
      </c>
      <c r="C15" s="6" t="s">
        <v>1973</v>
      </c>
      <c r="D15" s="6" t="s">
        <v>1974</v>
      </c>
      <c r="E15" s="8"/>
      <c r="F15" s="7" t="s">
        <v>740</v>
      </c>
      <c r="G15" s="7" t="str">
        <f t="shared" si="3"/>
        <v>text</v>
      </c>
      <c r="H15" s="26"/>
      <c r="I15" s="10" t="s">
        <v>127</v>
      </c>
      <c r="J15" s="11" t="s">
        <v>1986</v>
      </c>
      <c r="M15" s="4"/>
      <c r="N15" s="78"/>
      <c r="O15" s="78"/>
      <c r="P15" s="78" t="str">
        <f t="shared" si="4"/>
        <v>,dpc2_cd</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milscm_2023_010.azn_202310_backup_mt_dpc6_icd.dpc2_cd IS 'DPCコード2桁';</v>
      </c>
    </row>
    <row r="16" spans="1:45" s="25" customFormat="1" ht="37.5">
      <c r="A16" s="4"/>
      <c r="B16" s="21">
        <f t="shared" si="2"/>
        <v>4</v>
      </c>
      <c r="C16" s="6" t="s">
        <v>1975</v>
      </c>
      <c r="D16" s="6" t="s">
        <v>1976</v>
      </c>
      <c r="E16" s="8"/>
      <c r="F16" s="7" t="s">
        <v>740</v>
      </c>
      <c r="G16" s="7" t="str">
        <f t="shared" si="3"/>
        <v>text</v>
      </c>
      <c r="H16" s="26"/>
      <c r="I16" s="10" t="s">
        <v>127</v>
      </c>
      <c r="J16" s="11" t="s">
        <v>1986</v>
      </c>
      <c r="M16" s="4"/>
      <c r="N16" s="78"/>
      <c r="O16" s="78"/>
      <c r="P16" s="78" t="str">
        <f t="shared" si="4"/>
        <v>,dpc6_cd</v>
      </c>
      <c r="Q16" s="78" t="str">
        <f t="shared" si="0"/>
        <v>TEXT</v>
      </c>
      <c r="R16" s="78" t="str">
        <f t="shared" si="1"/>
        <v/>
      </c>
      <c r="S16" s="78" t="str">
        <f t="shared" si="5"/>
        <v>NOT NULL</v>
      </c>
      <c r="T16" s="78" t="str">
        <f t="shared" si="6"/>
        <v>-- DPCコード6桁</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milscm_2023_010.azn_202310_backup_mt_dpc6_icd.dpc6_cd IS 'DPCコード6桁';</v>
      </c>
    </row>
    <row r="17" spans="1:52" s="25" customFormat="1" ht="37.5">
      <c r="A17" s="4"/>
      <c r="B17" s="21">
        <f t="shared" si="2"/>
        <v>5</v>
      </c>
      <c r="C17" s="6" t="s">
        <v>666</v>
      </c>
      <c r="D17" s="6" t="s">
        <v>1977</v>
      </c>
      <c r="E17" s="8" t="s">
        <v>127</v>
      </c>
      <c r="F17" s="7" t="s">
        <v>740</v>
      </c>
      <c r="G17" s="7" t="str">
        <f t="shared" si="3"/>
        <v>text</v>
      </c>
      <c r="H17" s="26"/>
      <c r="I17" s="10" t="s">
        <v>127</v>
      </c>
      <c r="J17" s="11" t="s">
        <v>1986</v>
      </c>
      <c r="M17" s="4"/>
      <c r="N17" s="78"/>
      <c r="O17" s="78"/>
      <c r="P17" s="78" t="str">
        <f t="shared" si="4"/>
        <v>,icd10_cd</v>
      </c>
      <c r="Q17" s="78" t="str">
        <f t="shared" si="0"/>
        <v>TEXT</v>
      </c>
      <c r="R17" s="78" t="str">
        <f t="shared" si="1"/>
        <v/>
      </c>
      <c r="S17" s="78" t="str">
        <f t="shared" si="5"/>
        <v>NOT NULL</v>
      </c>
      <c r="T17" s="78" t="str">
        <f t="shared" si="6"/>
        <v>-- ICD10コード</v>
      </c>
      <c r="U17" s="4"/>
      <c r="AA17" s="4"/>
      <c r="AB17" s="4"/>
      <c r="AC17" s="4"/>
      <c r="AD17" s="4"/>
      <c r="AE17" s="4"/>
      <c r="AF17" s="4"/>
      <c r="AG17" s="4"/>
      <c r="AH17" s="4"/>
      <c r="AI17" s="4"/>
      <c r="AJ17" s="78" t="str">
        <f>IF(E17="○",IF(COUNTA(E$13:E17)=1,"",",")&amp;D17,"")</f>
        <v>,icd10_cd</v>
      </c>
      <c r="AK17" s="4"/>
      <c r="AL17" s="4"/>
      <c r="AM17" s="4"/>
      <c r="AN17" s="4"/>
      <c r="AO17" s="4"/>
      <c r="AP17" s="4"/>
      <c r="AQ17" s="4"/>
      <c r="AR17" s="4"/>
      <c r="AS17" s="78" t="str">
        <f>"COMMENT ON COLUMN "&amp;エンティティ一覧!$O$2&amp;"."&amp;D$8&amp;"."&amp;D17&amp;" IS '"&amp;C17&amp;"';"</f>
        <v>COMMENT ON COLUMN milscm_2023_010.azn_202310_backup_mt_dpc6_icd.icd10_cd IS 'ICD10コード';</v>
      </c>
    </row>
    <row r="18" spans="1:52" s="25" customFormat="1" ht="37.5">
      <c r="A18" s="4"/>
      <c r="B18" s="21">
        <f t="shared" si="2"/>
        <v>6</v>
      </c>
      <c r="C18" s="6" t="s">
        <v>1978</v>
      </c>
      <c r="D18" s="6" t="s">
        <v>1979</v>
      </c>
      <c r="E18" s="8"/>
      <c r="F18" s="7" t="s">
        <v>740</v>
      </c>
      <c r="G18" s="7" t="str">
        <f t="shared" si="3"/>
        <v>text</v>
      </c>
      <c r="H18" s="26"/>
      <c r="I18" s="10" t="s">
        <v>127</v>
      </c>
      <c r="J18" s="11" t="s">
        <v>1986</v>
      </c>
      <c r="M18" s="4"/>
      <c r="N18" s="78"/>
      <c r="O18" s="78"/>
      <c r="P18" s="78" t="str">
        <f t="shared" si="4"/>
        <v>,icd10_name</v>
      </c>
      <c r="Q18" s="78" t="str">
        <f t="shared" si="0"/>
        <v>TEXT</v>
      </c>
      <c r="R18" s="78" t="str">
        <f t="shared" si="1"/>
        <v/>
      </c>
      <c r="S18" s="78" t="str">
        <f t="shared" si="5"/>
        <v>NOT NULL</v>
      </c>
      <c r="T18" s="78" t="str">
        <f t="shared" si="6"/>
        <v>-- ICD名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milscm_2023_010.azn_202310_backup_mt_dpc6_icd.icd10_name IS 'ICD名';</v>
      </c>
    </row>
    <row r="19" spans="1:52" s="25" customFormat="1" ht="56.25">
      <c r="A19" s="4"/>
      <c r="B19" s="21">
        <f t="shared" si="2"/>
        <v>7</v>
      </c>
      <c r="C19" s="6" t="s">
        <v>1980</v>
      </c>
      <c r="D19" s="6" t="s">
        <v>1981</v>
      </c>
      <c r="E19" s="8"/>
      <c r="F19" s="7" t="s">
        <v>740</v>
      </c>
      <c r="G19" s="7" t="str">
        <f t="shared" si="3"/>
        <v>text</v>
      </c>
      <c r="H19" s="26" t="s">
        <v>1987</v>
      </c>
      <c r="I19" s="10" t="s">
        <v>127</v>
      </c>
      <c r="J19" s="11" t="s">
        <v>1984</v>
      </c>
      <c r="M19" s="4"/>
      <c r="N19" s="78"/>
      <c r="O19" s="78"/>
      <c r="P19" s="78" t="str">
        <f t="shared" si="4"/>
        <v>,start_ymd</v>
      </c>
      <c r="Q19" s="78" t="str">
        <f t="shared" si="0"/>
        <v>TEXT</v>
      </c>
      <c r="R19" s="78" t="str">
        <f t="shared" si="1"/>
        <v>default '00000000'</v>
      </c>
      <c r="S19" s="78" t="str">
        <f t="shared" si="5"/>
        <v>NOT NULL</v>
      </c>
      <c r="T19" s="78" t="str">
        <f t="shared" si="6"/>
        <v>-- 有効期間_開始年月日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milscm_2023_010.azn_202310_backup_mt_dpc6_icd.start_ymd IS '有効期間_開始年月日';</v>
      </c>
    </row>
    <row r="20" spans="1:52" s="25" customFormat="1" ht="56.25">
      <c r="A20" s="4"/>
      <c r="B20" s="21">
        <f t="shared" si="2"/>
        <v>8</v>
      </c>
      <c r="C20" s="6" t="s">
        <v>1982</v>
      </c>
      <c r="D20" s="6" t="s">
        <v>1983</v>
      </c>
      <c r="E20" s="8"/>
      <c r="F20" s="7" t="s">
        <v>740</v>
      </c>
      <c r="G20" s="7" t="str">
        <f t="shared" si="3"/>
        <v>text</v>
      </c>
      <c r="H20" s="26">
        <v>99999999</v>
      </c>
      <c r="I20" s="10" t="s">
        <v>127</v>
      </c>
      <c r="J20" s="11" t="s">
        <v>1984</v>
      </c>
      <c r="M20" s="4"/>
      <c r="N20" s="78"/>
      <c r="O20" s="78"/>
      <c r="P20" s="78" t="str">
        <f t="shared" si="4"/>
        <v>,end_ymd</v>
      </c>
      <c r="Q20" s="78" t="str">
        <f t="shared" si="0"/>
        <v>TEXT</v>
      </c>
      <c r="R20" s="78" t="str">
        <f t="shared" si="1"/>
        <v>default '99999999'</v>
      </c>
      <c r="S20" s="78" t="str">
        <f t="shared" si="5"/>
        <v>NOT NULL</v>
      </c>
      <c r="T20" s="78" t="str">
        <f t="shared" si="6"/>
        <v>-- 有効期間_終了年月日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milscm_2023_010.azn_202310_backup_mt_dpc6_icd.end_ymd IS '有効期間_終了年月日';</v>
      </c>
    </row>
    <row r="21" spans="1:52" s="25" customFormat="1" ht="57" thickBot="1">
      <c r="A21" s="4"/>
      <c r="B21" s="27">
        <f>ROW()-12</f>
        <v>9</v>
      </c>
      <c r="C21" s="57" t="s">
        <v>1964</v>
      </c>
      <c r="D21" s="57" t="s">
        <v>1926</v>
      </c>
      <c r="E21" s="56"/>
      <c r="F21" s="56" t="s">
        <v>740</v>
      </c>
      <c r="G21" s="56" t="str">
        <f t="shared" si="3"/>
        <v>text</v>
      </c>
      <c r="H21" s="59">
        <v>99999999</v>
      </c>
      <c r="I21" s="60" t="s">
        <v>127</v>
      </c>
      <c r="J21" s="64" t="s">
        <v>1984</v>
      </c>
      <c r="N21" s="78"/>
      <c r="O21" s="78"/>
      <c r="P21" s="78" t="str">
        <f t="shared" si="4"/>
        <v>,update_ymd</v>
      </c>
      <c r="Q21" s="78" t="str">
        <f t="shared" si="0"/>
        <v>TEXT</v>
      </c>
      <c r="R21" s="78" t="str">
        <f t="shared" si="1"/>
        <v>default '99999999'</v>
      </c>
      <c r="S21" s="78" t="str">
        <f t="shared" si="5"/>
        <v>NOT NULL</v>
      </c>
      <c r="T21" s="78" t="str">
        <f t="shared" si="6"/>
        <v>-- データ登録年月日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milscm_2023_010.azn_202310_backup_mt_dpc6_icd.update_ymd IS 'データ登録年月日';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700-000000000000}"/>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ENT_01_A3-06</v>
      </c>
      <c r="E6" s="239"/>
      <c r="F6" s="239"/>
      <c r="G6" s="239"/>
      <c r="H6" s="239"/>
      <c r="I6" s="239"/>
      <c r="J6" s="240"/>
    </row>
    <row r="7" spans="1:45">
      <c r="B7" s="228" t="s">
        <v>115</v>
      </c>
      <c r="C7" s="229"/>
      <c r="D7" s="230" t="s">
        <v>1988</v>
      </c>
      <c r="E7" s="231"/>
      <c r="F7" s="231"/>
      <c r="G7" s="231"/>
      <c r="H7" s="231"/>
      <c r="I7" s="231"/>
      <c r="J7" s="232"/>
    </row>
    <row r="8" spans="1:45">
      <c r="B8" s="228" t="s">
        <v>116</v>
      </c>
      <c r="C8" s="229"/>
      <c r="D8" s="230" t="str">
        <f>エンティティ一覧!AE2&amp;"_"&amp;D5&amp;"_mt_syusyokugo"</f>
        <v>azn_202310_backup_mt_syusyokugo</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milscm_2023_010.azn_202310_backup_mt_syusyokugo;</v>
      </c>
      <c r="O10" s="78"/>
      <c r="P10" s="78"/>
      <c r="Q10" s="78"/>
      <c r="R10" s="78"/>
      <c r="S10" s="78"/>
      <c r="T10" s="78"/>
      <c r="AJ10" s="78" t="str">
        <f>"ALTER TABLE ONLY "&amp;エンティティ一覧!$O$2&amp;"."&amp;D$8</f>
        <v>ALTER TABLE ONLY milscm_2023_010.azn_202310_backup_mt_syusyokugo</v>
      </c>
      <c r="AS10" s="78" t="str">
        <f>"ALTER TABLE "&amp;エンティティ一覧!$O$2&amp;"."&amp;D$8&amp;" OWNER TO pgmisgrp1;"</f>
        <v>ALTER TABLE milscm_2023_010.azn_202310_backup_mt_syusyokugo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milscm_2023_010.azn_202310_backup_mt_syusyokugo</v>
      </c>
      <c r="O11" s="78"/>
      <c r="P11" s="78"/>
      <c r="Q11" s="78"/>
      <c r="R11" s="78"/>
      <c r="S11" s="78"/>
      <c r="T11" s="78"/>
      <c r="AJ11" s="78" t="str">
        <f>"ADD CONSTRAINT "&amp;D$8&amp;"_pkey PRIMARY KEY"</f>
        <v>ADD CONSTRAINT azn_202310_backup_mt_syusyokugo_pkey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milscm_2023_010.azn_202310_backup_mt_syusyokugo IS 'バックアップ_修飾語マスタ取込用';</v>
      </c>
    </row>
    <row r="13" spans="1:45" s="25" customFormat="1" ht="75">
      <c r="A13" s="4"/>
      <c r="B13" s="21">
        <f>ROW()-12</f>
        <v>1</v>
      </c>
      <c r="C13" s="6" t="s">
        <v>1971</v>
      </c>
      <c r="D13" s="6" t="s">
        <v>1972</v>
      </c>
      <c r="E13" s="8" t="s">
        <v>127</v>
      </c>
      <c r="F13" s="8" t="s">
        <v>1782</v>
      </c>
      <c r="G13" s="7" t="str">
        <f>IF(F13="フラグ","boolean",IF(F13="文字列","text",IF(F13="整数","integer",IF(F13="実数","numeric",""))))</f>
        <v>text</v>
      </c>
      <c r="H13" s="9"/>
      <c r="I13" s="10" t="s">
        <v>127</v>
      </c>
      <c r="J13" s="11" t="s">
        <v>2022</v>
      </c>
      <c r="M13" s="4"/>
      <c r="N13" s="78"/>
      <c r="O13" s="78"/>
      <c r="P13" s="78" t="str">
        <f>IF(B13&lt;&gt;1,","&amp;D13,D13)</f>
        <v>henkou_kubun</v>
      </c>
      <c r="Q13" s="78" t="str">
        <f t="shared" ref="Q13:Q32" si="0">UPPER(G13)</f>
        <v>TEXT</v>
      </c>
      <c r="R13" s="78" t="str">
        <f t="shared" ref="R13:R32"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milscm_2023_010.azn_202310_backup_mt_syusyokugo.henkou_kubun IS '変更区分';</v>
      </c>
    </row>
    <row r="14" spans="1:45" s="25" customFormat="1">
      <c r="A14" s="4"/>
      <c r="B14" s="21">
        <f t="shared" ref="B14:B25" si="2">ROW()-12</f>
        <v>2</v>
      </c>
      <c r="C14" s="6" t="s">
        <v>1989</v>
      </c>
      <c r="D14" s="6" t="s">
        <v>1990</v>
      </c>
      <c r="E14" s="8"/>
      <c r="F14" s="7" t="s">
        <v>740</v>
      </c>
      <c r="G14" s="7" t="str">
        <f t="shared" ref="G14:G25" si="3">IF(F14="フラグ","boolean",IF(F14="文字列","text",IF(F14="整数","integer",IF(F14="実数","numeric",""))))</f>
        <v>text</v>
      </c>
      <c r="H14" s="26"/>
      <c r="I14" s="10"/>
      <c r="J14" s="11" t="s">
        <v>2023</v>
      </c>
      <c r="M14" s="4"/>
      <c r="N14" s="78"/>
      <c r="O14" s="78"/>
      <c r="P14" s="78" t="str">
        <f t="shared" ref="P14:P25" si="4">IF(B14&lt;&gt;1,","&amp;D14,D14)</f>
        <v>,master_type</v>
      </c>
      <c r="Q14" s="78" t="str">
        <f t="shared" ref="Q14:Q25" si="5">UPPER(G14)</f>
        <v>TEXT</v>
      </c>
      <c r="R14" s="78" t="str">
        <f t="shared" ref="R14:R25" si="6">IF(H14&lt;&gt;"","default "&amp;IF(G14="text","'"&amp;H14&amp;"'",H14),"")</f>
        <v/>
      </c>
      <c r="S14" s="78" t="str">
        <f t="shared" ref="S14:S25" si="7">IF(I14="○","NOT NULL","")</f>
        <v/>
      </c>
      <c r="T14" s="78" t="str">
        <f t="shared" ref="T14:T25"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milscm_2023_010.azn_202310_backup_mt_syusyokugo.master_type IS 'マスター種別';</v>
      </c>
    </row>
    <row r="15" spans="1:45" s="25" customFormat="1">
      <c r="A15" s="4"/>
      <c r="B15" s="21">
        <f t="shared" si="2"/>
        <v>3</v>
      </c>
      <c r="C15" s="6" t="s">
        <v>1991</v>
      </c>
      <c r="D15" s="6" t="s">
        <v>1992</v>
      </c>
      <c r="E15" s="8" t="s">
        <v>127</v>
      </c>
      <c r="F15" s="7" t="s">
        <v>740</v>
      </c>
      <c r="G15" s="7" t="str">
        <f t="shared" si="3"/>
        <v>text</v>
      </c>
      <c r="H15" s="26"/>
      <c r="I15" s="10" t="s">
        <v>127</v>
      </c>
      <c r="J15" s="11"/>
      <c r="M15" s="4"/>
      <c r="N15" s="78"/>
      <c r="O15" s="78"/>
      <c r="P15" s="78" t="str">
        <f t="shared" si="4"/>
        <v>,syusyokugo_cd</v>
      </c>
      <c r="Q15" s="78" t="str">
        <f t="shared" si="5"/>
        <v>TEXT</v>
      </c>
      <c r="R15" s="78" t="str">
        <f t="shared" si="6"/>
        <v/>
      </c>
      <c r="S15" s="78" t="str">
        <f t="shared" si="7"/>
        <v>NOT NULL</v>
      </c>
      <c r="T15" s="78" t="str">
        <f t="shared" si="8"/>
        <v>-- 修飾語コード</v>
      </c>
      <c r="U15" s="4"/>
      <c r="AA15" s="4"/>
      <c r="AB15" s="4"/>
      <c r="AC15" s="4"/>
      <c r="AD15" s="4"/>
      <c r="AE15" s="4"/>
      <c r="AF15" s="4"/>
      <c r="AG15" s="4"/>
      <c r="AH15" s="4"/>
      <c r="AI15" s="4"/>
      <c r="AJ15" s="78" t="str">
        <f>IF(E15="○",IF(COUNTA(E$13:E15)=1,"",",")&amp;D15,"")</f>
        <v>,syusyokugo_cd</v>
      </c>
      <c r="AK15" s="4"/>
      <c r="AL15" s="4"/>
      <c r="AM15" s="4"/>
      <c r="AN15" s="4"/>
      <c r="AO15" s="4"/>
      <c r="AP15" s="4"/>
      <c r="AQ15" s="4"/>
      <c r="AR15" s="4"/>
      <c r="AS15" s="78" t="str">
        <f>"COMMENT ON COLUMN "&amp;エンティティ一覧!$O$2&amp;"."&amp;D$8&amp;"."&amp;D15&amp;" IS '"&amp;C15&amp;"';"</f>
        <v>COMMENT ON COLUMN milscm_2023_010.azn_202310_backup_mt_syusyokugo.syusyokugo_cd IS '修飾語コード';</v>
      </c>
    </row>
    <row r="16" spans="1:45" s="25" customFormat="1">
      <c r="A16" s="4"/>
      <c r="B16" s="21">
        <f t="shared" si="2"/>
        <v>4</v>
      </c>
      <c r="C16" s="6" t="s">
        <v>1993</v>
      </c>
      <c r="D16" s="6" t="s">
        <v>968</v>
      </c>
      <c r="E16" s="8"/>
      <c r="F16" s="7" t="s">
        <v>740</v>
      </c>
      <c r="G16" s="7" t="str">
        <f t="shared" si="3"/>
        <v>text</v>
      </c>
      <c r="H16" s="26"/>
      <c r="I16" s="10"/>
      <c r="J16" s="11" t="s">
        <v>2024</v>
      </c>
      <c r="M16" s="4"/>
      <c r="N16" s="78"/>
      <c r="O16" s="78"/>
      <c r="P16" s="78" t="str">
        <f t="shared" si="4"/>
        <v>,reserve1</v>
      </c>
      <c r="Q16" s="78" t="str">
        <f t="shared" si="5"/>
        <v>TEXT</v>
      </c>
      <c r="R16" s="78" t="str">
        <f t="shared" si="6"/>
        <v/>
      </c>
      <c r="S16" s="78" t="str">
        <f t="shared" si="7"/>
        <v/>
      </c>
      <c r="T16" s="78" t="str">
        <f t="shared" si="8"/>
        <v>-- 予備1</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milscm_2023_010.azn_202310_backup_mt_syusyokugo.reserve1 IS '予備1';</v>
      </c>
    </row>
    <row r="17" spans="1:45" s="25" customFormat="1">
      <c r="A17" s="4"/>
      <c r="B17" s="21">
        <f t="shared" si="2"/>
        <v>5</v>
      </c>
      <c r="C17" s="6" t="s">
        <v>1994</v>
      </c>
      <c r="D17" s="6" t="s">
        <v>1019</v>
      </c>
      <c r="E17" s="8"/>
      <c r="F17" s="7" t="s">
        <v>740</v>
      </c>
      <c r="G17" s="7" t="str">
        <f t="shared" si="3"/>
        <v>text</v>
      </c>
      <c r="H17" s="26"/>
      <c r="I17" s="10"/>
      <c r="J17" s="11" t="s">
        <v>2024</v>
      </c>
      <c r="M17" s="4"/>
      <c r="N17" s="78"/>
      <c r="O17" s="78"/>
      <c r="P17" s="78" t="str">
        <f t="shared" si="4"/>
        <v>,reserve2</v>
      </c>
      <c r="Q17" s="78" t="str">
        <f t="shared" si="5"/>
        <v>TEXT</v>
      </c>
      <c r="R17" s="78" t="str">
        <f t="shared" si="6"/>
        <v/>
      </c>
      <c r="S17" s="78" t="str">
        <f t="shared" si="7"/>
        <v/>
      </c>
      <c r="T17" s="78" t="str">
        <f t="shared" si="8"/>
        <v>-- 予備2</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milscm_2023_010.azn_202310_backup_mt_syusyokugo.reserve2 IS '予備2';</v>
      </c>
    </row>
    <row r="18" spans="1:45" s="25" customFormat="1">
      <c r="A18" s="4"/>
      <c r="B18" s="21">
        <f t="shared" si="2"/>
        <v>6</v>
      </c>
      <c r="C18" s="6" t="s">
        <v>1995</v>
      </c>
      <c r="D18" s="6" t="s">
        <v>1996</v>
      </c>
      <c r="E18" s="8"/>
      <c r="F18" s="7" t="s">
        <v>1997</v>
      </c>
      <c r="G18" s="7" t="str">
        <f t="shared" si="3"/>
        <v>integer</v>
      </c>
      <c r="H18" s="26"/>
      <c r="I18" s="10"/>
      <c r="J18" s="11"/>
      <c r="M18" s="4"/>
      <c r="N18" s="78"/>
      <c r="O18" s="78"/>
      <c r="P18" s="78" t="str">
        <f t="shared" si="4"/>
        <v>,syusyokugo_name_ketasu</v>
      </c>
      <c r="Q18" s="78" t="str">
        <f t="shared" si="5"/>
        <v>INTEGER</v>
      </c>
      <c r="R18" s="78" t="str">
        <f t="shared" si="6"/>
        <v/>
      </c>
      <c r="S18" s="78" t="str">
        <f t="shared" si="7"/>
        <v/>
      </c>
      <c r="T18" s="78" t="str">
        <f t="shared" si="8"/>
        <v>-- 修飾語名称桁数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milscm_2023_010.azn_202310_backup_mt_syusyokugo.syusyokugo_name_ketasu IS '修飾語名称桁数';</v>
      </c>
    </row>
    <row r="19" spans="1:45" s="25" customFormat="1">
      <c r="A19" s="4"/>
      <c r="B19" s="21">
        <f t="shared" si="2"/>
        <v>7</v>
      </c>
      <c r="C19" s="6" t="s">
        <v>1998</v>
      </c>
      <c r="D19" s="6" t="s">
        <v>1999</v>
      </c>
      <c r="E19" s="8"/>
      <c r="F19" s="7" t="s">
        <v>740</v>
      </c>
      <c r="G19" s="7" t="str">
        <f t="shared" si="3"/>
        <v>text</v>
      </c>
      <c r="H19" s="26"/>
      <c r="I19" s="10"/>
      <c r="J19" s="11"/>
      <c r="M19" s="4"/>
      <c r="N19" s="78"/>
      <c r="O19" s="78"/>
      <c r="P19" s="78" t="str">
        <f t="shared" si="4"/>
        <v>,syusyokugo_name</v>
      </c>
      <c r="Q19" s="78" t="str">
        <f t="shared" si="5"/>
        <v>TEXT</v>
      </c>
      <c r="R19" s="78" t="str">
        <f t="shared" si="6"/>
        <v/>
      </c>
      <c r="S19" s="78" t="str">
        <f t="shared" si="7"/>
        <v/>
      </c>
      <c r="T19" s="78" t="str">
        <f t="shared" si="8"/>
        <v>-- 修飾語名称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milscm_2023_010.azn_202310_backup_mt_syusyokugo.syusyokugo_name IS '修飾語名称';</v>
      </c>
    </row>
    <row r="20" spans="1:45" s="25" customFormat="1">
      <c r="A20" s="4"/>
      <c r="B20" s="21">
        <f t="shared" si="2"/>
        <v>8</v>
      </c>
      <c r="C20" s="6" t="s">
        <v>2000</v>
      </c>
      <c r="D20" s="6" t="s">
        <v>1021</v>
      </c>
      <c r="E20" s="8"/>
      <c r="F20" s="7" t="s">
        <v>740</v>
      </c>
      <c r="G20" s="7" t="str">
        <f t="shared" si="3"/>
        <v>text</v>
      </c>
      <c r="H20" s="26"/>
      <c r="I20" s="10"/>
      <c r="J20" s="11" t="s">
        <v>2024</v>
      </c>
      <c r="M20" s="4"/>
      <c r="N20" s="78"/>
      <c r="O20" s="78"/>
      <c r="P20" s="78" t="str">
        <f t="shared" si="4"/>
        <v>,reserve3</v>
      </c>
      <c r="Q20" s="78" t="str">
        <f t="shared" si="5"/>
        <v>TEXT</v>
      </c>
      <c r="R20" s="78" t="str">
        <f t="shared" si="6"/>
        <v/>
      </c>
      <c r="S20" s="78" t="str">
        <f t="shared" si="7"/>
        <v/>
      </c>
      <c r="T20" s="78" t="str">
        <f t="shared" si="8"/>
        <v>-- 予備3</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milscm_2023_010.azn_202310_backup_mt_syusyokugo.reserve3 IS '予備3';</v>
      </c>
    </row>
    <row r="21" spans="1:45" s="25" customFormat="1" ht="31.5">
      <c r="A21" s="4"/>
      <c r="B21" s="21">
        <f t="shared" si="2"/>
        <v>9</v>
      </c>
      <c r="C21" s="6" t="s">
        <v>2001</v>
      </c>
      <c r="D21" s="6" t="s">
        <v>2002</v>
      </c>
      <c r="E21" s="8"/>
      <c r="F21" s="7" t="s">
        <v>1997</v>
      </c>
      <c r="G21" s="7" t="str">
        <f t="shared" si="3"/>
        <v>integer</v>
      </c>
      <c r="H21" s="26"/>
      <c r="I21" s="10"/>
      <c r="J21" s="11"/>
      <c r="M21" s="4"/>
      <c r="N21" s="78"/>
      <c r="O21" s="78"/>
      <c r="P21" s="78" t="str">
        <f t="shared" si="4"/>
        <v>,syusyokugo_kana_name_ketasu</v>
      </c>
      <c r="Q21" s="78" t="str">
        <f t="shared" si="5"/>
        <v>INTEGER</v>
      </c>
      <c r="R21" s="78" t="str">
        <f t="shared" si="6"/>
        <v/>
      </c>
      <c r="S21" s="78" t="str">
        <f t="shared" si="7"/>
        <v/>
      </c>
      <c r="T21" s="78" t="str">
        <f t="shared" si="8"/>
        <v>-- 修飾語カナ名称桁数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milscm_2023_010.azn_202310_backup_mt_syusyokugo.syusyokugo_kana_name_ketasu IS '修飾語カナ名称桁数';</v>
      </c>
    </row>
    <row r="22" spans="1:45" s="25" customFormat="1">
      <c r="A22" s="4"/>
      <c r="B22" s="21">
        <f t="shared" si="2"/>
        <v>10</v>
      </c>
      <c r="C22" s="6" t="s">
        <v>2003</v>
      </c>
      <c r="D22" s="6" t="s">
        <v>2004</v>
      </c>
      <c r="E22" s="8"/>
      <c r="F22" s="7" t="s">
        <v>740</v>
      </c>
      <c r="G22" s="7" t="str">
        <f t="shared" si="3"/>
        <v>text</v>
      </c>
      <c r="H22" s="26"/>
      <c r="I22" s="10"/>
      <c r="J22" s="11"/>
      <c r="M22" s="4"/>
      <c r="N22" s="78"/>
      <c r="O22" s="78"/>
      <c r="P22" s="78" t="str">
        <f t="shared" si="4"/>
        <v>,syusyokugo_kana_name</v>
      </c>
      <c r="Q22" s="78" t="str">
        <f t="shared" si="5"/>
        <v>TEXT</v>
      </c>
      <c r="R22" s="78" t="str">
        <f t="shared" si="6"/>
        <v/>
      </c>
      <c r="S22" s="78" t="str">
        <f t="shared" si="7"/>
        <v/>
      </c>
      <c r="T22" s="78" t="str">
        <f t="shared" si="8"/>
        <v>-- 修飾語カナ名称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milscm_2023_010.azn_202310_backup_mt_syusyokugo.syusyokugo_kana_name IS '修飾語カナ名称';</v>
      </c>
    </row>
    <row r="23" spans="1:45" s="25" customFormat="1">
      <c r="A23" s="4"/>
      <c r="B23" s="21">
        <f t="shared" si="2"/>
        <v>11</v>
      </c>
      <c r="C23" s="6" t="s">
        <v>2005</v>
      </c>
      <c r="D23" s="6" t="s">
        <v>1228</v>
      </c>
      <c r="E23" s="8"/>
      <c r="F23" s="7" t="s">
        <v>740</v>
      </c>
      <c r="G23" s="7" t="str">
        <f t="shared" si="3"/>
        <v>text</v>
      </c>
      <c r="H23" s="26"/>
      <c r="I23" s="10"/>
      <c r="J23" s="11" t="s">
        <v>2024</v>
      </c>
      <c r="M23" s="4"/>
      <c r="N23" s="78"/>
      <c r="O23" s="78"/>
      <c r="P23" s="78" t="str">
        <f t="shared" si="4"/>
        <v>,reserve4</v>
      </c>
      <c r="Q23" s="78" t="str">
        <f t="shared" si="5"/>
        <v>TEXT</v>
      </c>
      <c r="R23" s="78" t="str">
        <f t="shared" si="6"/>
        <v/>
      </c>
      <c r="S23" s="78" t="str">
        <f t="shared" si="7"/>
        <v/>
      </c>
      <c r="T23" s="78" t="str">
        <f t="shared" si="8"/>
        <v>-- 予備4</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milscm_2023_010.azn_202310_backup_mt_syusyokugo.reserve4 IS '予備4';</v>
      </c>
    </row>
    <row r="24" spans="1:45" s="25" customFormat="1">
      <c r="A24" s="4"/>
      <c r="B24" s="21">
        <f t="shared" si="2"/>
        <v>12</v>
      </c>
      <c r="C24" s="6" t="s">
        <v>2006</v>
      </c>
      <c r="D24" s="6" t="s">
        <v>2007</v>
      </c>
      <c r="E24" s="8"/>
      <c r="F24" s="7" t="s">
        <v>740</v>
      </c>
      <c r="G24" s="7" t="str">
        <f t="shared" si="3"/>
        <v>text</v>
      </c>
      <c r="H24" s="26"/>
      <c r="I24" s="10"/>
      <c r="J24" s="11"/>
      <c r="M24" s="4"/>
      <c r="N24" s="78"/>
      <c r="O24" s="78"/>
      <c r="P24" s="78" t="str">
        <f t="shared" si="4"/>
        <v>,syusyokugo_name_henkou</v>
      </c>
      <c r="Q24" s="78" t="str">
        <f t="shared" si="5"/>
        <v>TEXT</v>
      </c>
      <c r="R24" s="78" t="str">
        <f t="shared" si="6"/>
        <v/>
      </c>
      <c r="S24" s="78" t="str">
        <f t="shared" si="7"/>
        <v/>
      </c>
      <c r="T24" s="78" t="str">
        <f t="shared" si="8"/>
        <v>-- 修飾語名称（変更情報）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milscm_2023_010.azn_202310_backup_mt_syusyokugo.syusyokugo_name_henkou IS '修飾語名称（変更情報）';</v>
      </c>
    </row>
    <row r="25" spans="1:45" s="25" customFormat="1" ht="31.5">
      <c r="A25" s="4"/>
      <c r="B25" s="21">
        <f t="shared" si="2"/>
        <v>13</v>
      </c>
      <c r="C25" s="6" t="s">
        <v>2008</v>
      </c>
      <c r="D25" s="6" t="s">
        <v>2009</v>
      </c>
      <c r="E25" s="8"/>
      <c r="F25" s="7" t="s">
        <v>740</v>
      </c>
      <c r="G25" s="7" t="str">
        <f t="shared" si="3"/>
        <v>text</v>
      </c>
      <c r="H25" s="26"/>
      <c r="I25" s="10"/>
      <c r="J25" s="11"/>
      <c r="M25" s="4"/>
      <c r="N25" s="78"/>
      <c r="O25" s="78"/>
      <c r="P25" s="78" t="str">
        <f t="shared" si="4"/>
        <v>,syusyokugo_kana_name_henkou</v>
      </c>
      <c r="Q25" s="78" t="str">
        <f t="shared" si="5"/>
        <v>TEXT</v>
      </c>
      <c r="R25" s="78" t="str">
        <f t="shared" si="6"/>
        <v/>
      </c>
      <c r="S25" s="78" t="str">
        <f t="shared" si="7"/>
        <v/>
      </c>
      <c r="T25" s="78" t="str">
        <f t="shared" si="8"/>
        <v>-- 修飾語カナ名称（変更情報）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milscm_2023_010.azn_202310_backup_mt_syusyokugo.syusyokugo_kana_name_henkou IS '修飾語カナ名称（変更情報）';</v>
      </c>
    </row>
    <row r="26" spans="1:45" s="25" customFormat="1">
      <c r="A26" s="4"/>
      <c r="B26" s="21">
        <f t="shared" ref="B26:B31" si="9">ROW()-12</f>
        <v>14</v>
      </c>
      <c r="C26" s="6" t="s">
        <v>2010</v>
      </c>
      <c r="D26" s="6" t="s">
        <v>2011</v>
      </c>
      <c r="E26" s="8"/>
      <c r="F26" s="7" t="s">
        <v>740</v>
      </c>
      <c r="G26" s="7" t="str">
        <f t="shared" ref="G26:G32" si="10">IF(F26="フラグ","boolean",IF(F26="文字列","text",IF(F26="整数","integer",IF(F26="実数","numeric",""))))</f>
        <v>text</v>
      </c>
      <c r="H26" s="26"/>
      <c r="I26" s="10"/>
      <c r="J26" s="11" t="s">
        <v>1839</v>
      </c>
      <c r="M26" s="4"/>
      <c r="N26" s="78"/>
      <c r="O26" s="78"/>
      <c r="P26" s="78" t="str">
        <f t="shared" ref="P26:P32" si="11">IF(B26&lt;&gt;1,","&amp;D26,D26)</f>
        <v>,syusai_ymd</v>
      </c>
      <c r="Q26" s="78" t="str">
        <f t="shared" si="0"/>
        <v>TEXT</v>
      </c>
      <c r="R26" s="78" t="str">
        <f t="shared" si="1"/>
        <v/>
      </c>
      <c r="S26" s="78" t="str">
        <f t="shared" ref="S26:S32" si="12">IF(I26="○","NOT NULL","")</f>
        <v/>
      </c>
      <c r="T26" s="78" t="str">
        <f t="shared" ref="T26:T32" si="13">"-- "&amp;C26</f>
        <v>-- 収載年月日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milscm_2023_010.azn_202310_backup_mt_syusyokugo.syusai_ymd IS '収載年月日';</v>
      </c>
    </row>
    <row r="27" spans="1:45" s="25" customFormat="1">
      <c r="A27" s="4"/>
      <c r="B27" s="21">
        <f t="shared" si="9"/>
        <v>15</v>
      </c>
      <c r="C27" s="6" t="s">
        <v>2012</v>
      </c>
      <c r="D27" s="6" t="s">
        <v>2013</v>
      </c>
      <c r="E27" s="8"/>
      <c r="F27" s="7" t="s">
        <v>740</v>
      </c>
      <c r="G27" s="7" t="str">
        <f t="shared" si="10"/>
        <v>text</v>
      </c>
      <c r="H27" s="26"/>
      <c r="I27" s="10"/>
      <c r="J27" s="11" t="s">
        <v>1839</v>
      </c>
      <c r="M27" s="4"/>
      <c r="N27" s="78"/>
      <c r="O27" s="78"/>
      <c r="P27" s="78" t="str">
        <f t="shared" si="11"/>
        <v>,henko_ymd</v>
      </c>
      <c r="Q27" s="78" t="str">
        <f t="shared" si="0"/>
        <v>TEXT</v>
      </c>
      <c r="R27" s="78" t="str">
        <f t="shared" si="1"/>
        <v/>
      </c>
      <c r="S27" s="78" t="str">
        <f t="shared" si="12"/>
        <v/>
      </c>
      <c r="T27" s="78" t="str">
        <f t="shared" si="13"/>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milscm_2023_010.azn_202310_backup_mt_syusyokugo.henko_ymd IS '変更年月日';</v>
      </c>
    </row>
    <row r="28" spans="1:45" s="25" customFormat="1">
      <c r="A28" s="4"/>
      <c r="B28" s="21">
        <f t="shared" si="9"/>
        <v>16</v>
      </c>
      <c r="C28" s="6" t="s">
        <v>1952</v>
      </c>
      <c r="D28" s="6" t="s">
        <v>2014</v>
      </c>
      <c r="E28" s="8"/>
      <c r="F28" s="7" t="s">
        <v>740</v>
      </c>
      <c r="G28" s="7" t="str">
        <f t="shared" si="10"/>
        <v>text</v>
      </c>
      <c r="H28" s="26"/>
      <c r="I28" s="10"/>
      <c r="J28" s="11" t="s">
        <v>1839</v>
      </c>
      <c r="M28" s="4"/>
      <c r="N28" s="78"/>
      <c r="O28" s="78"/>
      <c r="P28" s="78" t="str">
        <f t="shared" si="11"/>
        <v>,haishi_ymd</v>
      </c>
      <c r="Q28" s="78" t="str">
        <f t="shared" si="0"/>
        <v>TEXT</v>
      </c>
      <c r="R28" s="78" t="str">
        <f t="shared" si="1"/>
        <v/>
      </c>
      <c r="S28" s="78" t="str">
        <f t="shared" si="12"/>
        <v/>
      </c>
      <c r="T28" s="78" t="str">
        <f t="shared" si="13"/>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milscm_2023_010.azn_202310_backup_mt_syusyokugo.haishi_ymd IS '廃止年月日';</v>
      </c>
    </row>
    <row r="29" spans="1:45" s="25" customFormat="1">
      <c r="A29" s="4"/>
      <c r="B29" s="21">
        <f t="shared" si="9"/>
        <v>17</v>
      </c>
      <c r="C29" s="6" t="s">
        <v>2015</v>
      </c>
      <c r="D29" s="6" t="s">
        <v>2016</v>
      </c>
      <c r="E29" s="8"/>
      <c r="F29" s="7" t="s">
        <v>1997</v>
      </c>
      <c r="G29" s="7" t="str">
        <f t="shared" si="10"/>
        <v>integer</v>
      </c>
      <c r="H29" s="26"/>
      <c r="I29" s="10"/>
      <c r="J29" s="11"/>
      <c r="M29" s="4"/>
      <c r="N29" s="78"/>
      <c r="O29" s="78"/>
      <c r="P29" s="78" t="str">
        <f t="shared" si="11"/>
        <v>,syusyokugo_kanri_no</v>
      </c>
      <c r="Q29" s="78" t="str">
        <f t="shared" si="0"/>
        <v>INTEGER</v>
      </c>
      <c r="R29" s="78" t="str">
        <f t="shared" si="1"/>
        <v/>
      </c>
      <c r="S29" s="78" t="str">
        <f t="shared" si="12"/>
        <v/>
      </c>
      <c r="T29" s="78" t="str">
        <f t="shared" si="13"/>
        <v>-- 修飾語管理番号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milscm_2023_010.azn_202310_backup_mt_syusyokugo.syusyokugo_kanri_no IS '修飾語管理番号';</v>
      </c>
    </row>
    <row r="30" spans="1:45" s="25" customFormat="1">
      <c r="A30" s="4"/>
      <c r="B30" s="21">
        <f t="shared" si="9"/>
        <v>18</v>
      </c>
      <c r="C30" s="6" t="s">
        <v>2017</v>
      </c>
      <c r="D30" s="6" t="s">
        <v>2018</v>
      </c>
      <c r="E30" s="8"/>
      <c r="F30" s="7" t="s">
        <v>740</v>
      </c>
      <c r="G30" s="7" t="str">
        <f t="shared" si="10"/>
        <v>text</v>
      </c>
      <c r="H30" s="26"/>
      <c r="I30" s="10"/>
      <c r="J30" s="11"/>
      <c r="M30" s="4"/>
      <c r="N30" s="78"/>
      <c r="O30" s="78"/>
      <c r="P30" s="78" t="str">
        <f t="shared" si="11"/>
        <v>,syusyokugo_koukan_cd</v>
      </c>
      <c r="Q30" s="78" t="str">
        <f t="shared" si="0"/>
        <v>TEXT</v>
      </c>
      <c r="R30" s="78" t="str">
        <f t="shared" si="1"/>
        <v/>
      </c>
      <c r="S30" s="78" t="str">
        <f t="shared" si="12"/>
        <v/>
      </c>
      <c r="T30" s="78" t="str">
        <f t="shared" si="13"/>
        <v>-- 修飾語交換用コード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milscm_2023_010.azn_202310_backup_mt_syusyokugo.syusyokugo_koukan_cd IS '修飾語交換用コード';</v>
      </c>
    </row>
    <row r="31" spans="1:45" s="25" customFormat="1">
      <c r="A31" s="4"/>
      <c r="B31" s="21">
        <f t="shared" si="9"/>
        <v>19</v>
      </c>
      <c r="C31" s="6" t="s">
        <v>2019</v>
      </c>
      <c r="D31" s="6" t="s">
        <v>2020</v>
      </c>
      <c r="E31" s="8"/>
      <c r="F31" s="7" t="s">
        <v>740</v>
      </c>
      <c r="G31" s="7" t="str">
        <f t="shared" si="10"/>
        <v>text</v>
      </c>
      <c r="H31" s="26"/>
      <c r="I31" s="10"/>
      <c r="J31" s="11"/>
      <c r="M31" s="4"/>
      <c r="N31" s="78"/>
      <c r="O31" s="78"/>
      <c r="P31" s="78" t="str">
        <f t="shared" si="11"/>
        <v>,syusyokugo_kubun</v>
      </c>
      <c r="Q31" s="78" t="str">
        <f t="shared" si="0"/>
        <v>TEXT</v>
      </c>
      <c r="R31" s="78" t="str">
        <f t="shared" si="1"/>
        <v/>
      </c>
      <c r="S31" s="78" t="str">
        <f t="shared" si="12"/>
        <v/>
      </c>
      <c r="T31" s="78" t="str">
        <f t="shared" si="13"/>
        <v>-- 修飾語区分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milscm_2023_010.azn_202310_backup_mt_syusyokugo.syusyokugo_kubun IS '修飾語区分';</v>
      </c>
    </row>
    <row r="32" spans="1:45" s="25" customFormat="1" ht="19.5" thickBot="1">
      <c r="A32" s="4"/>
      <c r="B32" s="27">
        <f>ROW()-12</f>
        <v>20</v>
      </c>
      <c r="C32" s="57" t="s">
        <v>2021</v>
      </c>
      <c r="D32" s="57" t="s">
        <v>1926</v>
      </c>
      <c r="E32" s="56" t="s">
        <v>127</v>
      </c>
      <c r="F32" s="56" t="s">
        <v>740</v>
      </c>
      <c r="G32" s="56" t="str">
        <f t="shared" si="10"/>
        <v>text</v>
      </c>
      <c r="H32" s="59"/>
      <c r="I32" s="60" t="s">
        <v>127</v>
      </c>
      <c r="J32" s="64" t="s">
        <v>1839</v>
      </c>
      <c r="N32" s="78"/>
      <c r="O32" s="78"/>
      <c r="P32" s="78" t="str">
        <f t="shared" si="11"/>
        <v>,update_ymd</v>
      </c>
      <c r="Q32" s="78" t="str">
        <f t="shared" si="0"/>
        <v>TEXT</v>
      </c>
      <c r="R32" s="78" t="str">
        <f t="shared" si="1"/>
        <v/>
      </c>
      <c r="S32" s="78" t="str">
        <f t="shared" si="12"/>
        <v>NOT NULL</v>
      </c>
      <c r="T32" s="78" t="str">
        <f t="shared" si="13"/>
        <v>-- データ登録日</v>
      </c>
      <c r="U32" s="4"/>
      <c r="AA32" s="4"/>
      <c r="AB32" s="4"/>
      <c r="AC32" s="4"/>
      <c r="AD32" s="4"/>
      <c r="AE32" s="4"/>
      <c r="AF32" s="4"/>
      <c r="AG32" s="4"/>
      <c r="AH32" s="4"/>
      <c r="AI32" s="4"/>
      <c r="AJ32" s="78" t="str">
        <f>IF(E32="○",IF(COUNTA(E$13:E32)=1,"",",")&amp;D32,"")</f>
        <v>,update_ymd</v>
      </c>
      <c r="AK32" s="4"/>
      <c r="AL32" s="4"/>
      <c r="AM32" s="4"/>
      <c r="AN32" s="4"/>
      <c r="AO32" s="4"/>
      <c r="AP32" s="4"/>
      <c r="AQ32" s="4"/>
      <c r="AR32" s="4"/>
      <c r="AS32" s="78" t="str">
        <f>"COMMENT ON COLUMN "&amp;エンティティ一覧!$O$2&amp;"."&amp;D$8&amp;"."&amp;D32&amp;" IS '"&amp;C32&amp;"';"</f>
        <v>COMMENT ON COLUMN milscm_2023_010.azn_202310_backup_mt_syusyokugo.update_ymd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800-000000000000}"/>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Z6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ENT_01_A3-07</v>
      </c>
      <c r="E6" s="239"/>
      <c r="F6" s="239"/>
      <c r="G6" s="239"/>
      <c r="H6" s="239"/>
      <c r="I6" s="239"/>
      <c r="J6" s="240"/>
    </row>
    <row r="7" spans="1:45">
      <c r="B7" s="228" t="s">
        <v>115</v>
      </c>
      <c r="C7" s="229"/>
      <c r="D7" s="230" t="s">
        <v>2025</v>
      </c>
      <c r="E7" s="231"/>
      <c r="F7" s="231"/>
      <c r="G7" s="231"/>
      <c r="H7" s="231"/>
      <c r="I7" s="231"/>
      <c r="J7" s="232"/>
    </row>
    <row r="8" spans="1:45">
      <c r="B8" s="228" t="s">
        <v>116</v>
      </c>
      <c r="C8" s="229"/>
      <c r="D8" s="230" t="str">
        <f>エンティティ一覧!AE2&amp;"_"&amp;D5&amp;"_mt_comment"</f>
        <v>azn_202310_backup_mt_comment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milscm_2023_010.azn_202310_backup_mt_comment;</v>
      </c>
      <c r="O10" s="78"/>
      <c r="P10" s="78"/>
      <c r="Q10" s="78"/>
      <c r="R10" s="78"/>
      <c r="S10" s="78"/>
      <c r="T10" s="78"/>
      <c r="AJ10" s="78" t="str">
        <f>"ALTER TABLE ONLY "&amp;エンティティ一覧!$O$2&amp;"."&amp;D$8</f>
        <v>ALTER TABLE ONLY milscm_2023_010.azn_202310_backup_mt_comment</v>
      </c>
      <c r="AS10" s="78" t="str">
        <f>"ALTER TABLE "&amp;エンティティ一覧!$O$2&amp;"."&amp;D$8&amp;" OWNER TO pgmisgrp1;"</f>
        <v>ALTER TABLE milscm_2023_010.azn_202310_backup_mt_comment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milscm_2023_010.azn_202310_backup_mt_comment</v>
      </c>
      <c r="O11" s="78"/>
      <c r="P11" s="78"/>
      <c r="Q11" s="78"/>
      <c r="R11" s="78"/>
      <c r="S11" s="78"/>
      <c r="T11" s="78"/>
      <c r="AJ11" s="78" t="str">
        <f>"ADD CONSTRAINT "&amp;D$8&amp;"_pkey PRIMARY KEY"</f>
        <v>ADD CONSTRAINT azn_202310_backup_mt_comment_pkey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milscm_2023_010.azn_202310_backup_mt_comment IS 'バックアップ_コメントマスタ取込用';</v>
      </c>
    </row>
    <row r="13" spans="1:45" s="25" customFormat="1" ht="75">
      <c r="A13" s="4"/>
      <c r="B13" s="21">
        <f>ROW()-12</f>
        <v>1</v>
      </c>
      <c r="C13" s="6" t="s">
        <v>1971</v>
      </c>
      <c r="D13" s="6" t="s">
        <v>1972</v>
      </c>
      <c r="E13" s="8" t="s">
        <v>127</v>
      </c>
      <c r="F13" s="8" t="s">
        <v>1782</v>
      </c>
      <c r="G13" s="7" t="str">
        <f>IF(F13="フラグ","boolean",IF(F13="文字列","text",IF(F13="整数","integer",IF(F13="実数","numeric",""))))</f>
        <v>text</v>
      </c>
      <c r="H13" s="9"/>
      <c r="I13" s="10" t="s">
        <v>127</v>
      </c>
      <c r="J13" s="11" t="s">
        <v>2022</v>
      </c>
      <c r="M13" s="4"/>
      <c r="N13" s="78"/>
      <c r="O13" s="78"/>
      <c r="P13" s="78" t="str">
        <f>IF(B13&lt;&gt;1,","&amp;D13,D13)</f>
        <v>henkou_kubun</v>
      </c>
      <c r="Q13" s="78" t="str">
        <f t="shared" ref="Q13:Q43" si="0">UPPER(G13)</f>
        <v>TEXT</v>
      </c>
      <c r="R13" s="78" t="str">
        <f t="shared" ref="R13:R43" si="1">IF(H13&lt;&gt;"","default "&amp;IF(G13="text","'"&amp;H13&amp;"'",H13),"")</f>
        <v/>
      </c>
      <c r="S13" s="78" t="str">
        <f>IF(I13="○","NOT NULL","")</f>
        <v>NOT NULL</v>
      </c>
      <c r="T13" s="78" t="str">
        <f>"-- "&amp;C13</f>
        <v>-- 変更区分</v>
      </c>
      <c r="U13" s="4"/>
      <c r="AA13" s="4"/>
      <c r="AB13" s="4"/>
      <c r="AC13" s="4"/>
      <c r="AD13" s="4"/>
      <c r="AE13" s="4"/>
      <c r="AF13" s="4"/>
      <c r="AG13" s="4"/>
      <c r="AH13" s="4"/>
      <c r="AI13" s="4"/>
      <c r="AJ13" s="78" t="str">
        <f>IF(E13="○",IF(COUNTA(E$13:E13)=1,"",",")&amp;D13,"")</f>
        <v>henkou_kubun</v>
      </c>
      <c r="AK13" s="4"/>
      <c r="AL13" s="4"/>
      <c r="AM13" s="4"/>
      <c r="AN13" s="4"/>
      <c r="AO13" s="4"/>
      <c r="AP13" s="4"/>
      <c r="AQ13" s="4"/>
      <c r="AR13" s="4"/>
      <c r="AS13" s="78" t="str">
        <f>"COMMENT ON COLUMN "&amp;エンティティ一覧!$O$2&amp;"."&amp;D$8&amp;"."&amp;D13&amp;" IS '"&amp;C13&amp;"';"</f>
        <v>COMMENT ON COLUMN milscm_2023_010.azn_202310_backup_mt_comment.henkou_kubun IS '変更区分';</v>
      </c>
    </row>
    <row r="14" spans="1:45" s="25" customFormat="1">
      <c r="A14" s="4"/>
      <c r="B14" s="21">
        <f t="shared" ref="B14:B23" si="2">ROW()-12</f>
        <v>2</v>
      </c>
      <c r="C14" s="6" t="s">
        <v>1989</v>
      </c>
      <c r="D14" s="6" t="s">
        <v>1990</v>
      </c>
      <c r="E14" s="8"/>
      <c r="F14" s="7" t="s">
        <v>740</v>
      </c>
      <c r="G14" s="7" t="str">
        <f t="shared" ref="G14:G23" si="3">IF(F14="フラグ","boolean",IF(F14="文字列","text",IF(F14="整数","integer",IF(F14="実数","numeric",""))))</f>
        <v>text</v>
      </c>
      <c r="H14" s="26"/>
      <c r="I14" s="10" t="s">
        <v>127</v>
      </c>
      <c r="J14" s="11" t="s">
        <v>2069</v>
      </c>
      <c r="M14" s="4"/>
      <c r="N14" s="78"/>
      <c r="O14" s="78"/>
      <c r="P14" s="78" t="str">
        <f t="shared" ref="P14:P23" si="4">IF(B14&lt;&gt;1,","&amp;D14,D14)</f>
        <v>,master_type</v>
      </c>
      <c r="Q14" s="78" t="str">
        <f t="shared" ref="Q14:Q23" si="5">UPPER(G14)</f>
        <v>TEXT</v>
      </c>
      <c r="R14" s="78" t="str">
        <f t="shared" ref="R14:R23" si="6">IF(H14&lt;&gt;"","default "&amp;IF(G14="text","'"&amp;H14&amp;"'",H14),"")</f>
        <v/>
      </c>
      <c r="S14" s="78" t="str">
        <f t="shared" ref="S14:S23" si="7">IF(I14="○","NOT NULL","")</f>
        <v>NOT NULL</v>
      </c>
      <c r="T14" s="78" t="str">
        <f t="shared" ref="T14:T23" si="8">"--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milscm_2023_010.azn_202310_backup_mt_comment.master_type IS 'マスター種別';</v>
      </c>
    </row>
    <row r="15" spans="1:45" s="25" customFormat="1">
      <c r="A15" s="4"/>
      <c r="B15" s="21">
        <f t="shared" si="2"/>
        <v>3</v>
      </c>
      <c r="C15" s="6" t="s">
        <v>2026</v>
      </c>
      <c r="D15" s="6" t="s">
        <v>2027</v>
      </c>
      <c r="E15" s="8" t="s">
        <v>127</v>
      </c>
      <c r="F15" s="7" t="s">
        <v>740</v>
      </c>
      <c r="G15" s="7" t="str">
        <f t="shared" si="3"/>
        <v>text</v>
      </c>
      <c r="H15" s="26"/>
      <c r="I15" s="10" t="s">
        <v>127</v>
      </c>
      <c r="J15" s="11" t="s">
        <v>2070</v>
      </c>
      <c r="M15" s="4"/>
      <c r="N15" s="78"/>
      <c r="O15" s="78"/>
      <c r="P15" s="78" t="str">
        <f t="shared" si="4"/>
        <v>,comment_cd</v>
      </c>
      <c r="Q15" s="78" t="str">
        <f t="shared" si="5"/>
        <v>TEXT</v>
      </c>
      <c r="R15" s="78" t="str">
        <f t="shared" si="6"/>
        <v/>
      </c>
      <c r="S15" s="78" t="str">
        <f t="shared" si="7"/>
        <v>NOT NULL</v>
      </c>
      <c r="T15" s="78" t="str">
        <f t="shared" si="8"/>
        <v>-- コメントコード区分</v>
      </c>
      <c r="U15" s="4"/>
      <c r="AA15" s="4"/>
      <c r="AB15" s="4"/>
      <c r="AC15" s="4"/>
      <c r="AD15" s="4"/>
      <c r="AE15" s="4"/>
      <c r="AF15" s="4"/>
      <c r="AG15" s="4"/>
      <c r="AH15" s="4"/>
      <c r="AI15" s="4"/>
      <c r="AJ15" s="78" t="str">
        <f>IF(E15="○",IF(COUNTA(E$13:E15)=1,"",",")&amp;D15,"")</f>
        <v>,comment_cd</v>
      </c>
      <c r="AK15" s="4"/>
      <c r="AL15" s="4"/>
      <c r="AM15" s="4"/>
      <c r="AN15" s="4"/>
      <c r="AO15" s="4"/>
      <c r="AP15" s="4"/>
      <c r="AQ15" s="4"/>
      <c r="AR15" s="4"/>
      <c r="AS15" s="78" t="str">
        <f>"COMMENT ON COLUMN "&amp;エンティティ一覧!$O$2&amp;"."&amp;D$8&amp;"."&amp;D15&amp;" IS '"&amp;C15&amp;"';"</f>
        <v>COMMENT ON COLUMN milscm_2023_010.azn_202310_backup_mt_comment.comment_cd IS 'コメントコード区分';</v>
      </c>
    </row>
    <row r="16" spans="1:45" s="25" customFormat="1">
      <c r="A16" s="4"/>
      <c r="B16" s="21">
        <f t="shared" si="2"/>
        <v>4</v>
      </c>
      <c r="C16" s="6" t="s">
        <v>2028</v>
      </c>
      <c r="D16" s="6" t="s">
        <v>2029</v>
      </c>
      <c r="E16" s="8" t="s">
        <v>127</v>
      </c>
      <c r="F16" s="7" t="s">
        <v>740</v>
      </c>
      <c r="G16" s="7" t="str">
        <f t="shared" si="3"/>
        <v>text</v>
      </c>
      <c r="H16" s="26"/>
      <c r="I16" s="10" t="s">
        <v>127</v>
      </c>
      <c r="J16" s="11"/>
      <c r="M16" s="4"/>
      <c r="N16" s="78"/>
      <c r="O16" s="78"/>
      <c r="P16" s="78" t="str">
        <f t="shared" si="4"/>
        <v>,comment_cd_pattern</v>
      </c>
      <c r="Q16" s="78" t="str">
        <f t="shared" si="5"/>
        <v>TEXT</v>
      </c>
      <c r="R16" s="78" t="str">
        <f t="shared" si="6"/>
        <v/>
      </c>
      <c r="S16" s="78" t="str">
        <f t="shared" si="7"/>
        <v>NOT NULL</v>
      </c>
      <c r="T16" s="78" t="str">
        <f t="shared" si="8"/>
        <v>-- コメントコードパターン</v>
      </c>
      <c r="U16" s="4"/>
      <c r="AA16" s="4"/>
      <c r="AB16" s="4"/>
      <c r="AC16" s="4"/>
      <c r="AD16" s="4"/>
      <c r="AE16" s="4"/>
      <c r="AF16" s="4"/>
      <c r="AG16" s="4"/>
      <c r="AH16" s="4"/>
      <c r="AI16" s="4"/>
      <c r="AJ16" s="78" t="str">
        <f>IF(E16="○",IF(COUNTA(E$13:E16)=1,"",",")&amp;D16,"")</f>
        <v>,comment_cd_pattern</v>
      </c>
      <c r="AK16" s="4"/>
      <c r="AL16" s="4"/>
      <c r="AM16" s="4"/>
      <c r="AN16" s="4"/>
      <c r="AO16" s="4"/>
      <c r="AP16" s="4"/>
      <c r="AQ16" s="4"/>
      <c r="AR16" s="4"/>
      <c r="AS16" s="78" t="str">
        <f>"COMMENT ON COLUMN "&amp;エンティティ一覧!$O$2&amp;"."&amp;D$8&amp;"."&amp;D16&amp;" IS '"&amp;C16&amp;"';"</f>
        <v>COMMENT ON COLUMN milscm_2023_010.azn_202310_backup_mt_comment.comment_cd_pattern IS 'コメントコードパターン';</v>
      </c>
    </row>
    <row r="17" spans="1:45" s="25" customFormat="1">
      <c r="A17" s="4"/>
      <c r="B17" s="21">
        <f t="shared" si="2"/>
        <v>5</v>
      </c>
      <c r="C17" s="6" t="s">
        <v>2030</v>
      </c>
      <c r="D17" s="6" t="s">
        <v>2031</v>
      </c>
      <c r="E17" s="8" t="s">
        <v>127</v>
      </c>
      <c r="F17" s="7" t="s">
        <v>2032</v>
      </c>
      <c r="G17" s="7" t="str">
        <f t="shared" si="3"/>
        <v>text</v>
      </c>
      <c r="H17" s="26"/>
      <c r="I17" s="10" t="s">
        <v>127</v>
      </c>
      <c r="J17" s="11"/>
      <c r="M17" s="4"/>
      <c r="N17" s="78"/>
      <c r="O17" s="78"/>
      <c r="P17" s="78" t="str">
        <f t="shared" si="4"/>
        <v>,comment_cd_seq</v>
      </c>
      <c r="Q17" s="78" t="str">
        <f t="shared" si="5"/>
        <v>TEXT</v>
      </c>
      <c r="R17" s="78" t="str">
        <f t="shared" si="6"/>
        <v/>
      </c>
      <c r="S17" s="78" t="str">
        <f t="shared" si="7"/>
        <v>NOT NULL</v>
      </c>
      <c r="T17" s="78" t="str">
        <f t="shared" si="8"/>
        <v>-- コメントコード一連番号</v>
      </c>
      <c r="U17" s="4"/>
      <c r="AA17" s="4"/>
      <c r="AB17" s="4"/>
      <c r="AC17" s="4"/>
      <c r="AD17" s="4"/>
      <c r="AE17" s="4"/>
      <c r="AF17" s="4"/>
      <c r="AG17" s="4"/>
      <c r="AH17" s="4"/>
      <c r="AI17" s="4"/>
      <c r="AJ17" s="78" t="str">
        <f>IF(E17="○",IF(COUNTA(E$13:E17)=1,"",",")&amp;D17,"")</f>
        <v>,comment_cd_seq</v>
      </c>
      <c r="AK17" s="4"/>
      <c r="AL17" s="4"/>
      <c r="AM17" s="4"/>
      <c r="AN17" s="4"/>
      <c r="AO17" s="4"/>
      <c r="AP17" s="4"/>
      <c r="AQ17" s="4"/>
      <c r="AR17" s="4"/>
      <c r="AS17" s="78" t="str">
        <f>"COMMENT ON COLUMN "&amp;エンティティ一覧!$O$2&amp;"."&amp;D$8&amp;"."&amp;D17&amp;" IS '"&amp;C17&amp;"';"</f>
        <v>COMMENT ON COLUMN milscm_2023_010.azn_202310_backup_mt_comment.comment_cd_seq IS 'コメントコード一連番号';</v>
      </c>
    </row>
    <row r="18" spans="1:45" s="25" customFormat="1" ht="31.5">
      <c r="A18" s="4"/>
      <c r="B18" s="21">
        <f t="shared" si="2"/>
        <v>6</v>
      </c>
      <c r="C18" s="6" t="s">
        <v>2033</v>
      </c>
      <c r="D18" s="6" t="s">
        <v>2034</v>
      </c>
      <c r="E18" s="8"/>
      <c r="F18" s="7" t="s">
        <v>2035</v>
      </c>
      <c r="G18" s="7" t="str">
        <f t="shared" si="3"/>
        <v>integer</v>
      </c>
      <c r="H18" s="26"/>
      <c r="I18" s="10"/>
      <c r="J18" s="11"/>
      <c r="M18" s="4"/>
      <c r="N18" s="78"/>
      <c r="O18" s="78"/>
      <c r="P18" s="78" t="str">
        <f t="shared" si="4"/>
        <v>,comment_sentence_kanji_ketasu</v>
      </c>
      <c r="Q18" s="78" t="str">
        <f t="shared" si="5"/>
        <v>INTEGER</v>
      </c>
      <c r="R18" s="78" t="str">
        <f t="shared" si="6"/>
        <v/>
      </c>
      <c r="S18" s="78" t="str">
        <f t="shared" si="7"/>
        <v/>
      </c>
      <c r="T18" s="78" t="str">
        <f t="shared" si="8"/>
        <v>-- コメント文漢字有効桁数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milscm_2023_010.azn_202310_backup_mt_comment.comment_sentence_kanji_ketasu IS 'コメント文漢字有効桁数';</v>
      </c>
    </row>
    <row r="19" spans="1:45" s="25" customFormat="1" ht="31.5">
      <c r="A19" s="4"/>
      <c r="B19" s="21">
        <f t="shared" si="2"/>
        <v>7</v>
      </c>
      <c r="C19" s="6" t="s">
        <v>2036</v>
      </c>
      <c r="D19" s="6" t="s">
        <v>2037</v>
      </c>
      <c r="E19" s="8"/>
      <c r="F19" s="7" t="s">
        <v>2032</v>
      </c>
      <c r="G19" s="7" t="str">
        <f t="shared" si="3"/>
        <v>text</v>
      </c>
      <c r="H19" s="26"/>
      <c r="I19" s="10"/>
      <c r="J19" s="11"/>
      <c r="M19" s="4"/>
      <c r="N19" s="78"/>
      <c r="O19" s="78"/>
      <c r="P19" s="78" t="str">
        <f t="shared" si="4"/>
        <v>,comment_sentence_kanji_name</v>
      </c>
      <c r="Q19" s="78" t="str">
        <f t="shared" si="5"/>
        <v>TEXT</v>
      </c>
      <c r="R19" s="78" t="str">
        <f t="shared" si="6"/>
        <v/>
      </c>
      <c r="S19" s="78" t="str">
        <f t="shared" si="7"/>
        <v/>
      </c>
      <c r="T19" s="78" t="str">
        <f t="shared" si="8"/>
        <v>-- コメント文漢字名称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milscm_2023_010.azn_202310_backup_mt_comment.comment_sentence_kanji_name IS 'コメント文漢字名称';</v>
      </c>
    </row>
    <row r="20" spans="1:45" s="25" customFormat="1" ht="31.5">
      <c r="A20" s="4"/>
      <c r="B20" s="21">
        <f t="shared" si="2"/>
        <v>8</v>
      </c>
      <c r="C20" s="6" t="s">
        <v>2038</v>
      </c>
      <c r="D20" s="6" t="s">
        <v>2039</v>
      </c>
      <c r="E20" s="8"/>
      <c r="F20" s="7" t="s">
        <v>2035</v>
      </c>
      <c r="G20" s="7" t="str">
        <f t="shared" si="3"/>
        <v>integer</v>
      </c>
      <c r="H20" s="26"/>
      <c r="I20" s="10"/>
      <c r="J20" s="11"/>
      <c r="M20" s="4"/>
      <c r="N20" s="78"/>
      <c r="O20" s="78"/>
      <c r="P20" s="78" t="str">
        <f t="shared" si="4"/>
        <v>,comment_sentence_kana_ketasu</v>
      </c>
      <c r="Q20" s="78" t="str">
        <f t="shared" si="5"/>
        <v>INTEGER</v>
      </c>
      <c r="R20" s="78" t="str">
        <f t="shared" si="6"/>
        <v/>
      </c>
      <c r="S20" s="78" t="str">
        <f t="shared" si="7"/>
        <v/>
      </c>
      <c r="T20" s="78" t="str">
        <f t="shared" si="8"/>
        <v>-- コメント文カナ有効桁数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milscm_2023_010.azn_202310_backup_mt_comment.comment_sentence_kana_ketasu IS 'コメント文カナ有効桁数';</v>
      </c>
    </row>
    <row r="21" spans="1:45" s="25" customFormat="1" ht="31.5">
      <c r="A21" s="4"/>
      <c r="B21" s="21">
        <f t="shared" si="2"/>
        <v>9</v>
      </c>
      <c r="C21" s="6" t="s">
        <v>2040</v>
      </c>
      <c r="D21" s="6" t="s">
        <v>2041</v>
      </c>
      <c r="E21" s="8"/>
      <c r="F21" s="7" t="s">
        <v>740</v>
      </c>
      <c r="G21" s="7" t="str">
        <f t="shared" si="3"/>
        <v>text</v>
      </c>
      <c r="H21" s="26"/>
      <c r="I21" s="10"/>
      <c r="J21" s="11"/>
      <c r="M21" s="4"/>
      <c r="N21" s="78"/>
      <c r="O21" s="78"/>
      <c r="P21" s="78" t="str">
        <f t="shared" si="4"/>
        <v>,comment_sentence_kana_name</v>
      </c>
      <c r="Q21" s="78" t="str">
        <f t="shared" si="5"/>
        <v>TEXT</v>
      </c>
      <c r="R21" s="78" t="str">
        <f t="shared" si="6"/>
        <v/>
      </c>
      <c r="S21" s="78" t="str">
        <f t="shared" si="7"/>
        <v/>
      </c>
      <c r="T21" s="78" t="str">
        <f t="shared" si="8"/>
        <v>-- コメント文カナ名称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milscm_2023_010.azn_202310_backup_mt_comment.comment_sentence_kana_name IS 'コメント文カナ名称';</v>
      </c>
    </row>
    <row r="22" spans="1:45" s="25" customFormat="1" ht="31.5">
      <c r="A22" s="4"/>
      <c r="B22" s="21">
        <f t="shared" si="2"/>
        <v>10</v>
      </c>
      <c r="C22" s="6" t="s">
        <v>2042</v>
      </c>
      <c r="D22" s="6" t="s">
        <v>2043</v>
      </c>
      <c r="E22" s="8"/>
      <c r="F22" s="7" t="s">
        <v>2035</v>
      </c>
      <c r="G22" s="7" t="str">
        <f t="shared" si="3"/>
        <v>integer</v>
      </c>
      <c r="H22" s="26"/>
      <c r="I22" s="10"/>
      <c r="J22" s="11"/>
      <c r="M22" s="4"/>
      <c r="N22" s="78"/>
      <c r="O22" s="78"/>
      <c r="P22" s="78" t="str">
        <f t="shared" si="4"/>
        <v>,recept_hensyu_info1_column_position</v>
      </c>
      <c r="Q22" s="78" t="str">
        <f t="shared" si="5"/>
        <v>INTEGER</v>
      </c>
      <c r="R22" s="78" t="str">
        <f t="shared" si="6"/>
        <v/>
      </c>
      <c r="S22" s="78" t="str">
        <f t="shared" si="7"/>
        <v/>
      </c>
      <c r="T22" s="78" t="str">
        <f t="shared" si="8"/>
        <v>-- レセプト編集情報1カラム位置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milscm_2023_010.azn_202310_backup_mt_comment.recept_hensyu_info1_column_position IS 'レセプト編集情報1カラム位置';</v>
      </c>
    </row>
    <row r="23" spans="1:45" s="25" customFormat="1" ht="31.5">
      <c r="A23" s="4"/>
      <c r="B23" s="21">
        <f t="shared" si="2"/>
        <v>11</v>
      </c>
      <c r="C23" s="6" t="s">
        <v>2044</v>
      </c>
      <c r="D23" s="6" t="s">
        <v>2045</v>
      </c>
      <c r="E23" s="8"/>
      <c r="F23" s="7" t="s">
        <v>2035</v>
      </c>
      <c r="G23" s="7" t="str">
        <f t="shared" si="3"/>
        <v>integer</v>
      </c>
      <c r="H23" s="26"/>
      <c r="I23" s="10"/>
      <c r="J23" s="11"/>
      <c r="M23" s="4"/>
      <c r="N23" s="78"/>
      <c r="O23" s="78"/>
      <c r="P23" s="78" t="str">
        <f t="shared" si="4"/>
        <v>,recept_hensyu_info1_ketasu</v>
      </c>
      <c r="Q23" s="78" t="str">
        <f t="shared" si="5"/>
        <v>INTEGER</v>
      </c>
      <c r="R23" s="78" t="str">
        <f t="shared" si="6"/>
        <v/>
      </c>
      <c r="S23" s="78" t="str">
        <f t="shared" si="7"/>
        <v/>
      </c>
      <c r="T23" s="78" t="str">
        <f t="shared" si="8"/>
        <v>-- レセプト編集情報1桁数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milscm_2023_010.azn_202310_backup_mt_comment.recept_hensyu_info1_ketasu IS 'レセプト編集情報1桁数';</v>
      </c>
    </row>
    <row r="24" spans="1:45" s="25" customFormat="1" ht="31.5">
      <c r="A24" s="4"/>
      <c r="B24" s="21">
        <f t="shared" ref="B24:B42" si="9">ROW()-12</f>
        <v>12</v>
      </c>
      <c r="C24" s="6" t="s">
        <v>2046</v>
      </c>
      <c r="D24" s="6" t="s">
        <v>2047</v>
      </c>
      <c r="E24" s="8"/>
      <c r="F24" s="7" t="s">
        <v>2035</v>
      </c>
      <c r="G24" s="7" t="str">
        <f t="shared" ref="G24:G43" si="10">IF(F24="フラグ","boolean",IF(F24="文字列","text",IF(F24="整数","integer",IF(F24="実数","numeric",""))))</f>
        <v>integer</v>
      </c>
      <c r="H24" s="26"/>
      <c r="I24" s="10"/>
      <c r="J24" s="11"/>
      <c r="M24" s="4"/>
      <c r="N24" s="78"/>
      <c r="O24" s="78"/>
      <c r="P24" s="78" t="str">
        <f t="shared" ref="P24:P43" si="11">IF(B24&lt;&gt;1,","&amp;D24,D24)</f>
        <v>,recept_hensyu_info2_column_position</v>
      </c>
      <c r="Q24" s="78" t="str">
        <f t="shared" si="0"/>
        <v>INTEGER</v>
      </c>
      <c r="R24" s="78" t="str">
        <f t="shared" si="1"/>
        <v/>
      </c>
      <c r="S24" s="78" t="str">
        <f t="shared" ref="S24:S43" si="12">IF(I24="○","NOT NULL","")</f>
        <v/>
      </c>
      <c r="T24" s="78" t="str">
        <f t="shared" ref="T24:T43" si="13">"-- "&amp;C24</f>
        <v>-- レセプト編集情報2カラム位置</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milscm_2023_010.azn_202310_backup_mt_comment.recept_hensyu_info2_column_position IS 'レセプト編集情報2カラム位置';</v>
      </c>
    </row>
    <row r="25" spans="1:45" s="25" customFormat="1" ht="31.5">
      <c r="A25" s="4"/>
      <c r="B25" s="21">
        <f t="shared" si="9"/>
        <v>13</v>
      </c>
      <c r="C25" s="6" t="s">
        <v>2048</v>
      </c>
      <c r="D25" s="6" t="s">
        <v>2049</v>
      </c>
      <c r="E25" s="8"/>
      <c r="F25" s="7" t="s">
        <v>2035</v>
      </c>
      <c r="G25" s="7" t="str">
        <f t="shared" si="10"/>
        <v>integer</v>
      </c>
      <c r="H25" s="26"/>
      <c r="I25" s="10"/>
      <c r="J25" s="11"/>
      <c r="M25" s="4"/>
      <c r="N25" s="78"/>
      <c r="O25" s="78"/>
      <c r="P25" s="78" t="str">
        <f t="shared" si="11"/>
        <v>,recept_hensyu_info2_ketasu</v>
      </c>
      <c r="Q25" s="78" t="str">
        <f t="shared" si="0"/>
        <v>INTEGER</v>
      </c>
      <c r="R25" s="78" t="str">
        <f t="shared" si="1"/>
        <v/>
      </c>
      <c r="S25" s="78" t="str">
        <f t="shared" si="12"/>
        <v/>
      </c>
      <c r="T25" s="78" t="str">
        <f t="shared" si="13"/>
        <v>-- レセプト編集情報2桁数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milscm_2023_010.azn_202310_backup_mt_comment.recept_hensyu_info2_ketasu IS 'レセプト編集情報2桁数';</v>
      </c>
    </row>
    <row r="26" spans="1:45" s="25" customFormat="1" ht="31.5">
      <c r="A26" s="4"/>
      <c r="B26" s="21">
        <f t="shared" si="9"/>
        <v>14</v>
      </c>
      <c r="C26" s="6" t="s">
        <v>2050</v>
      </c>
      <c r="D26" s="6" t="s">
        <v>2051</v>
      </c>
      <c r="E26" s="8"/>
      <c r="F26" s="7" t="s">
        <v>2035</v>
      </c>
      <c r="G26" s="7" t="str">
        <f t="shared" si="10"/>
        <v>integer</v>
      </c>
      <c r="H26" s="26"/>
      <c r="I26" s="10"/>
      <c r="J26" s="11"/>
      <c r="M26" s="4"/>
      <c r="N26" s="78"/>
      <c r="O26" s="78"/>
      <c r="P26" s="78" t="str">
        <f t="shared" si="11"/>
        <v>,recept_hensyu_info3_column_position</v>
      </c>
      <c r="Q26" s="78" t="str">
        <f t="shared" si="0"/>
        <v>INTEGER</v>
      </c>
      <c r="R26" s="78" t="str">
        <f t="shared" si="1"/>
        <v/>
      </c>
      <c r="S26" s="78" t="str">
        <f t="shared" si="12"/>
        <v/>
      </c>
      <c r="T26" s="78" t="str">
        <f t="shared" si="13"/>
        <v>-- レセプト編集情報3カラム位置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milscm_2023_010.azn_202310_backup_mt_comment.recept_hensyu_info3_column_position IS 'レセプト編集情報3カラム位置';</v>
      </c>
    </row>
    <row r="27" spans="1:45" s="25" customFormat="1" ht="31.5">
      <c r="A27" s="4"/>
      <c r="B27" s="21">
        <f t="shared" si="9"/>
        <v>15</v>
      </c>
      <c r="C27" s="6" t="s">
        <v>2052</v>
      </c>
      <c r="D27" s="6" t="s">
        <v>2053</v>
      </c>
      <c r="E27" s="8"/>
      <c r="F27" s="7" t="s">
        <v>2035</v>
      </c>
      <c r="G27" s="7" t="str">
        <f t="shared" si="10"/>
        <v>integer</v>
      </c>
      <c r="H27" s="26"/>
      <c r="I27" s="10"/>
      <c r="J27" s="11"/>
      <c r="M27" s="4"/>
      <c r="N27" s="78"/>
      <c r="O27" s="78"/>
      <c r="P27" s="78" t="str">
        <f t="shared" si="11"/>
        <v>,recept_hensyu_info3_ketasu</v>
      </c>
      <c r="Q27" s="78" t="str">
        <f t="shared" si="0"/>
        <v>INTEGER</v>
      </c>
      <c r="R27" s="78" t="str">
        <f t="shared" si="1"/>
        <v/>
      </c>
      <c r="S27" s="78" t="str">
        <f t="shared" si="12"/>
        <v/>
      </c>
      <c r="T27" s="78" t="str">
        <f t="shared" si="13"/>
        <v>-- レセプト編集情報3桁数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milscm_2023_010.azn_202310_backup_mt_comment.recept_hensyu_info3_ketasu IS 'レセプト編集情報3桁数';</v>
      </c>
    </row>
    <row r="28" spans="1:45" s="25" customFormat="1" ht="31.5">
      <c r="A28" s="4"/>
      <c r="B28" s="21">
        <f t="shared" si="9"/>
        <v>16</v>
      </c>
      <c r="C28" s="6" t="s">
        <v>2054</v>
      </c>
      <c r="D28" s="6" t="s">
        <v>2055</v>
      </c>
      <c r="E28" s="8"/>
      <c r="F28" s="7" t="s">
        <v>2035</v>
      </c>
      <c r="G28" s="7" t="str">
        <f t="shared" si="10"/>
        <v>integer</v>
      </c>
      <c r="H28" s="26"/>
      <c r="I28" s="10"/>
      <c r="J28" s="11"/>
      <c r="M28" s="4"/>
      <c r="N28" s="78"/>
      <c r="O28" s="78"/>
      <c r="P28" s="78" t="str">
        <f t="shared" si="11"/>
        <v>,recept_hensyu_info4_column_position</v>
      </c>
      <c r="Q28" s="78" t="str">
        <f t="shared" si="0"/>
        <v>INTEGER</v>
      </c>
      <c r="R28" s="78" t="str">
        <f t="shared" si="1"/>
        <v/>
      </c>
      <c r="S28" s="78" t="str">
        <f t="shared" si="12"/>
        <v/>
      </c>
      <c r="T28" s="78" t="str">
        <f t="shared" si="13"/>
        <v>-- レセプト編集情報4カラム位置</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milscm_2023_010.azn_202310_backup_mt_comment.recept_hensyu_info4_column_position IS 'レセプト編集情報4カラム位置';</v>
      </c>
    </row>
    <row r="29" spans="1:45" s="25" customFormat="1" ht="31.5">
      <c r="A29" s="4"/>
      <c r="B29" s="21">
        <f t="shared" si="9"/>
        <v>17</v>
      </c>
      <c r="C29" s="6" t="s">
        <v>2056</v>
      </c>
      <c r="D29" s="6" t="s">
        <v>2057</v>
      </c>
      <c r="E29" s="8"/>
      <c r="F29" s="7" t="s">
        <v>2035</v>
      </c>
      <c r="G29" s="7" t="str">
        <f t="shared" si="10"/>
        <v>integer</v>
      </c>
      <c r="H29" s="26"/>
      <c r="I29" s="10"/>
      <c r="J29" s="11"/>
      <c r="M29" s="4"/>
      <c r="N29" s="78"/>
      <c r="O29" s="78"/>
      <c r="P29" s="78" t="str">
        <f t="shared" si="11"/>
        <v>,recept_hensyu_info4_ketasu</v>
      </c>
      <c r="Q29" s="78" t="str">
        <f t="shared" si="0"/>
        <v>INTEGER</v>
      </c>
      <c r="R29" s="78" t="str">
        <f t="shared" si="1"/>
        <v/>
      </c>
      <c r="S29" s="78" t="str">
        <f t="shared" si="12"/>
        <v/>
      </c>
      <c r="T29" s="78" t="str">
        <f t="shared" si="13"/>
        <v>-- レセプト編集情報4桁数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milscm_2023_010.azn_202310_backup_mt_comment.recept_hensyu_info4_ketasu IS 'レセプト編集情報4桁数';</v>
      </c>
    </row>
    <row r="30" spans="1:45" s="25" customFormat="1">
      <c r="A30" s="4"/>
      <c r="B30" s="21">
        <f t="shared" si="9"/>
        <v>18</v>
      </c>
      <c r="C30" s="6" t="s">
        <v>1993</v>
      </c>
      <c r="D30" s="6" t="s">
        <v>968</v>
      </c>
      <c r="E30" s="8"/>
      <c r="F30" s="7" t="s">
        <v>740</v>
      </c>
      <c r="G30" s="7" t="str">
        <f t="shared" si="10"/>
        <v>text</v>
      </c>
      <c r="H30" s="26"/>
      <c r="I30" s="10"/>
      <c r="J30" s="11" t="s">
        <v>2024</v>
      </c>
      <c r="M30" s="4"/>
      <c r="N30" s="78"/>
      <c r="O30" s="78"/>
      <c r="P30" s="78" t="str">
        <f t="shared" si="11"/>
        <v>,reserve1</v>
      </c>
      <c r="Q30" s="78" t="str">
        <f t="shared" si="0"/>
        <v>TEXT</v>
      </c>
      <c r="R30" s="78" t="str">
        <f t="shared" si="1"/>
        <v/>
      </c>
      <c r="S30" s="78" t="str">
        <f t="shared" si="12"/>
        <v/>
      </c>
      <c r="T30" s="78" t="str">
        <f t="shared" si="13"/>
        <v>-- 予備1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milscm_2023_010.azn_202310_backup_mt_comment.reserve1 IS '予備1';</v>
      </c>
    </row>
    <row r="31" spans="1:45" s="25" customFormat="1">
      <c r="A31" s="4"/>
      <c r="B31" s="21">
        <f t="shared" si="9"/>
        <v>19</v>
      </c>
      <c r="C31" s="6" t="s">
        <v>1994</v>
      </c>
      <c r="D31" s="6" t="s">
        <v>1019</v>
      </c>
      <c r="E31" s="8"/>
      <c r="F31" s="7" t="s">
        <v>2032</v>
      </c>
      <c r="G31" s="7" t="str">
        <f t="shared" si="10"/>
        <v>text</v>
      </c>
      <c r="H31" s="26"/>
      <c r="I31" s="10"/>
      <c r="J31" s="11" t="s">
        <v>2024</v>
      </c>
      <c r="M31" s="4"/>
      <c r="N31" s="78"/>
      <c r="O31" s="78"/>
      <c r="P31" s="78" t="str">
        <f t="shared" si="11"/>
        <v>,reserve2</v>
      </c>
      <c r="Q31" s="78" t="str">
        <f t="shared" si="0"/>
        <v>TEXT</v>
      </c>
      <c r="R31" s="78" t="str">
        <f t="shared" si="1"/>
        <v/>
      </c>
      <c r="S31" s="78" t="str">
        <f t="shared" si="12"/>
        <v/>
      </c>
      <c r="T31" s="78" t="str">
        <f t="shared" si="13"/>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milscm_2023_010.azn_202310_backup_mt_comment.reserve2 IS '予備2';</v>
      </c>
    </row>
    <row r="32" spans="1:45" s="25" customFormat="1" ht="31.5">
      <c r="A32" s="4"/>
      <c r="B32" s="21">
        <f t="shared" si="9"/>
        <v>20</v>
      </c>
      <c r="C32" s="6" t="s">
        <v>2058</v>
      </c>
      <c r="D32" s="6" t="s">
        <v>2059</v>
      </c>
      <c r="E32" s="8"/>
      <c r="F32" s="7" t="s">
        <v>2035</v>
      </c>
      <c r="G32" s="7" t="str">
        <f t="shared" si="10"/>
        <v>integer</v>
      </c>
      <c r="H32" s="26"/>
      <c r="I32" s="10"/>
      <c r="J32" s="11"/>
      <c r="M32" s="4"/>
      <c r="N32" s="78"/>
      <c r="O32" s="78"/>
      <c r="P32" s="78" t="str">
        <f t="shared" si="11"/>
        <v>,selective_comment_identification</v>
      </c>
      <c r="Q32" s="78" t="str">
        <f t="shared" si="0"/>
        <v>INTEGER</v>
      </c>
      <c r="R32" s="78" t="str">
        <f t="shared" si="1"/>
        <v/>
      </c>
      <c r="S32" s="78" t="str">
        <f t="shared" si="12"/>
        <v/>
      </c>
      <c r="T32" s="78" t="str">
        <f t="shared" si="13"/>
        <v>-- 選択式コメント識別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milscm_2023_010.azn_202310_backup_mt_comment.selective_comment_identification IS '選択式コメント識別';</v>
      </c>
    </row>
    <row r="33" spans="1:52" s="25" customFormat="1">
      <c r="A33" s="4"/>
      <c r="B33" s="21">
        <f t="shared" si="9"/>
        <v>21</v>
      </c>
      <c r="C33" s="6" t="s">
        <v>2012</v>
      </c>
      <c r="D33" s="6" t="s">
        <v>2013</v>
      </c>
      <c r="E33" s="8"/>
      <c r="F33" s="7" t="s">
        <v>740</v>
      </c>
      <c r="G33" s="7" t="str">
        <f t="shared" si="10"/>
        <v>text</v>
      </c>
      <c r="H33" s="26"/>
      <c r="I33" s="10"/>
      <c r="J33" s="11" t="s">
        <v>1839</v>
      </c>
      <c r="M33" s="4"/>
      <c r="N33" s="78"/>
      <c r="O33" s="78"/>
      <c r="P33" s="78" t="str">
        <f t="shared" si="11"/>
        <v>,henko_ymd</v>
      </c>
      <c r="Q33" s="78" t="str">
        <f t="shared" si="0"/>
        <v>TEXT</v>
      </c>
      <c r="R33" s="78" t="str">
        <f t="shared" si="1"/>
        <v/>
      </c>
      <c r="S33" s="78" t="str">
        <f t="shared" si="12"/>
        <v/>
      </c>
      <c r="T33" s="78" t="str">
        <f t="shared" si="13"/>
        <v>-- 変更年月日</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milscm_2023_010.azn_202310_backup_mt_comment.henko_ymd IS '変更年月日';</v>
      </c>
    </row>
    <row r="34" spans="1:52" s="25" customFormat="1">
      <c r="A34" s="4"/>
      <c r="B34" s="21">
        <f t="shared" si="9"/>
        <v>22</v>
      </c>
      <c r="C34" s="6" t="s">
        <v>1952</v>
      </c>
      <c r="D34" s="6" t="s">
        <v>2014</v>
      </c>
      <c r="E34" s="8"/>
      <c r="F34" s="7" t="s">
        <v>740</v>
      </c>
      <c r="G34" s="7" t="str">
        <f t="shared" si="10"/>
        <v>text</v>
      </c>
      <c r="H34" s="26"/>
      <c r="I34" s="10"/>
      <c r="J34" s="11" t="s">
        <v>1839</v>
      </c>
      <c r="M34" s="4"/>
      <c r="N34" s="78"/>
      <c r="O34" s="78"/>
      <c r="P34" s="78" t="str">
        <f t="shared" si="11"/>
        <v>,haishi_ymd</v>
      </c>
      <c r="Q34" s="78" t="str">
        <f t="shared" si="0"/>
        <v>TEXT</v>
      </c>
      <c r="R34" s="78" t="str">
        <f t="shared" si="1"/>
        <v/>
      </c>
      <c r="S34" s="78" t="str">
        <f t="shared" si="12"/>
        <v/>
      </c>
      <c r="T34" s="78" t="str">
        <f t="shared" si="13"/>
        <v>-- 廃止年月日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milscm_2023_010.azn_202310_backup_mt_comment.haishi_ymd IS '廃止年月日';</v>
      </c>
    </row>
    <row r="35" spans="1:52" s="25" customFormat="1" ht="56.25">
      <c r="A35" s="4"/>
      <c r="B35" s="21">
        <f t="shared" si="9"/>
        <v>23</v>
      </c>
      <c r="C35" s="6" t="s">
        <v>2060</v>
      </c>
      <c r="D35" s="6" t="s">
        <v>2061</v>
      </c>
      <c r="E35" s="8"/>
      <c r="F35" s="7" t="s">
        <v>2032</v>
      </c>
      <c r="G35" s="7" t="str">
        <f t="shared" si="10"/>
        <v>text</v>
      </c>
      <c r="H35" s="26"/>
      <c r="I35" s="10"/>
      <c r="J35" s="11" t="s">
        <v>2071</v>
      </c>
      <c r="M35" s="4"/>
      <c r="N35" s="78"/>
      <c r="O35" s="78"/>
      <c r="P35" s="78" t="str">
        <f t="shared" si="11"/>
        <v>,comment_code</v>
      </c>
      <c r="Q35" s="78" t="str">
        <f t="shared" si="0"/>
        <v>TEXT</v>
      </c>
      <c r="R35" s="78" t="str">
        <f t="shared" si="1"/>
        <v/>
      </c>
      <c r="S35" s="78" t="str">
        <f t="shared" si="12"/>
        <v/>
      </c>
      <c r="T35" s="78" t="str">
        <f t="shared" si="13"/>
        <v>-- コメントコード</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milscm_2023_010.azn_202310_backup_mt_comment.comment_code IS 'コメントコード';</v>
      </c>
    </row>
    <row r="36" spans="1:52" s="25" customFormat="1">
      <c r="A36" s="4"/>
      <c r="B36" s="21">
        <f t="shared" si="9"/>
        <v>24</v>
      </c>
      <c r="C36" s="6" t="s">
        <v>2062</v>
      </c>
      <c r="D36" s="6" t="s">
        <v>2063</v>
      </c>
      <c r="E36" s="8"/>
      <c r="F36" s="7" t="s">
        <v>2032</v>
      </c>
      <c r="G36" s="7" t="str">
        <f t="shared" si="10"/>
        <v>text</v>
      </c>
      <c r="H36" s="26"/>
      <c r="I36" s="10"/>
      <c r="J36" s="11"/>
      <c r="M36" s="4"/>
      <c r="N36" s="78"/>
      <c r="O36" s="78"/>
      <c r="P36" s="78" t="str">
        <f t="shared" si="11"/>
        <v>,kouhyoujunjo_no</v>
      </c>
      <c r="Q36" s="78" t="str">
        <f t="shared" si="0"/>
        <v>TEXT</v>
      </c>
      <c r="R36" s="78" t="str">
        <f t="shared" si="1"/>
        <v/>
      </c>
      <c r="S36" s="78" t="str">
        <f t="shared" si="12"/>
        <v/>
      </c>
      <c r="T36" s="78" t="str">
        <f t="shared" si="13"/>
        <v>-- 公表順序番号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milscm_2023_010.azn_202310_backup_mt_comment.kouhyoujunjo_no IS '公表順序番号';</v>
      </c>
    </row>
    <row r="37" spans="1:52" s="25" customFormat="1">
      <c r="A37" s="4"/>
      <c r="B37" s="21">
        <f t="shared" si="9"/>
        <v>25</v>
      </c>
      <c r="C37" s="6" t="s">
        <v>2000</v>
      </c>
      <c r="D37" s="6" t="s">
        <v>1021</v>
      </c>
      <c r="E37" s="8"/>
      <c r="F37" s="7" t="s">
        <v>2032</v>
      </c>
      <c r="G37" s="7" t="str">
        <f t="shared" si="10"/>
        <v>text</v>
      </c>
      <c r="H37" s="26"/>
      <c r="I37" s="10"/>
      <c r="J37" s="11" t="s">
        <v>2024</v>
      </c>
      <c r="M37" s="4"/>
      <c r="N37" s="78"/>
      <c r="O37" s="78"/>
      <c r="P37" s="78" t="str">
        <f t="shared" si="11"/>
        <v>,reserve3</v>
      </c>
      <c r="Q37" s="78" t="str">
        <f t="shared" si="0"/>
        <v>TEXT</v>
      </c>
      <c r="R37" s="78" t="str">
        <f t="shared" si="1"/>
        <v/>
      </c>
      <c r="S37" s="78" t="str">
        <f t="shared" si="12"/>
        <v/>
      </c>
      <c r="T37" s="78" t="str">
        <f t="shared" si="13"/>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milscm_2023_010.azn_202310_backup_mt_comment.reserve3 IS '予備3';</v>
      </c>
    </row>
    <row r="38" spans="1:52" s="25" customFormat="1">
      <c r="A38" s="4"/>
      <c r="B38" s="21">
        <f t="shared" si="9"/>
        <v>26</v>
      </c>
      <c r="C38" s="6" t="s">
        <v>2005</v>
      </c>
      <c r="D38" s="6" t="s">
        <v>1228</v>
      </c>
      <c r="E38" s="8"/>
      <c r="F38" s="7" t="s">
        <v>740</v>
      </c>
      <c r="G38" s="7" t="str">
        <f t="shared" si="10"/>
        <v>text</v>
      </c>
      <c r="H38" s="26"/>
      <c r="I38" s="10"/>
      <c r="J38" s="11" t="s">
        <v>2024</v>
      </c>
      <c r="M38" s="4"/>
      <c r="N38" s="78"/>
      <c r="O38" s="78"/>
      <c r="P38" s="78" t="str">
        <f t="shared" si="11"/>
        <v>,reserve4</v>
      </c>
      <c r="Q38" s="78" t="str">
        <f t="shared" si="0"/>
        <v>TEXT</v>
      </c>
      <c r="R38" s="78" t="str">
        <f t="shared" si="1"/>
        <v/>
      </c>
      <c r="S38" s="78" t="str">
        <f t="shared" si="12"/>
        <v/>
      </c>
      <c r="T38" s="78" t="str">
        <f t="shared" si="13"/>
        <v>-- 予備4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milscm_2023_010.azn_202310_backup_mt_comment.reserve4 IS '予備4';</v>
      </c>
    </row>
    <row r="39" spans="1:52" s="25" customFormat="1">
      <c r="A39" s="4"/>
      <c r="B39" s="21">
        <f t="shared" si="9"/>
        <v>27</v>
      </c>
      <c r="C39" s="6" t="s">
        <v>2064</v>
      </c>
      <c r="D39" s="6" t="s">
        <v>1233</v>
      </c>
      <c r="E39" s="8"/>
      <c r="F39" s="7" t="s">
        <v>740</v>
      </c>
      <c r="G39" s="7" t="str">
        <f t="shared" si="10"/>
        <v>text</v>
      </c>
      <c r="H39" s="26"/>
      <c r="I39" s="10"/>
      <c r="J39" s="11" t="s">
        <v>2024</v>
      </c>
      <c r="M39" s="4"/>
      <c r="N39" s="78"/>
      <c r="O39" s="78"/>
      <c r="P39" s="78" t="str">
        <f t="shared" si="11"/>
        <v>,reserve5</v>
      </c>
      <c r="Q39" s="78" t="str">
        <f t="shared" si="0"/>
        <v>TEXT</v>
      </c>
      <c r="R39" s="78" t="str">
        <f t="shared" si="1"/>
        <v/>
      </c>
      <c r="S39" s="78" t="str">
        <f t="shared" si="12"/>
        <v/>
      </c>
      <c r="T39" s="78" t="str">
        <f t="shared" si="13"/>
        <v>-- 予備5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milscm_2023_010.azn_202310_backup_mt_comment.reserve5 IS '予備5';</v>
      </c>
    </row>
    <row r="40" spans="1:52" s="25" customFormat="1">
      <c r="A40" s="4"/>
      <c r="B40" s="21">
        <f t="shared" si="9"/>
        <v>28</v>
      </c>
      <c r="C40" s="6" t="s">
        <v>2065</v>
      </c>
      <c r="D40" s="6" t="s">
        <v>1235</v>
      </c>
      <c r="E40" s="8"/>
      <c r="F40" s="7" t="s">
        <v>740</v>
      </c>
      <c r="G40" s="7" t="str">
        <f t="shared" si="10"/>
        <v>text</v>
      </c>
      <c r="H40" s="26"/>
      <c r="I40" s="10"/>
      <c r="J40" s="11" t="s">
        <v>2024</v>
      </c>
      <c r="M40" s="4"/>
      <c r="N40" s="78"/>
      <c r="O40" s="78"/>
      <c r="P40" s="78" t="str">
        <f t="shared" si="11"/>
        <v>,reserve6</v>
      </c>
      <c r="Q40" s="78" t="str">
        <f t="shared" si="0"/>
        <v>TEXT</v>
      </c>
      <c r="R40" s="78" t="str">
        <f t="shared" si="1"/>
        <v/>
      </c>
      <c r="S40" s="78" t="str">
        <f t="shared" si="12"/>
        <v/>
      </c>
      <c r="T40" s="78" t="str">
        <f t="shared" si="13"/>
        <v>-- 予備6</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milscm_2023_010.azn_202310_backup_mt_comment.reserve6 IS '予備6';</v>
      </c>
    </row>
    <row r="41" spans="1:52" s="25" customFormat="1">
      <c r="A41" s="4"/>
      <c r="B41" s="21">
        <f t="shared" si="9"/>
        <v>29</v>
      </c>
      <c r="C41" s="6" t="s">
        <v>2066</v>
      </c>
      <c r="D41" s="6" t="s">
        <v>1237</v>
      </c>
      <c r="E41" s="8"/>
      <c r="F41" s="7" t="s">
        <v>2032</v>
      </c>
      <c r="G41" s="7" t="str">
        <f t="shared" ref="G41" si="14">IF(F41="フラグ","boolean",IF(F41="文字列","text",IF(F41="整数","integer",IF(F41="実数","numeric",""))))</f>
        <v>text</v>
      </c>
      <c r="H41" s="26"/>
      <c r="I41" s="10"/>
      <c r="J41" s="11" t="s">
        <v>2024</v>
      </c>
      <c r="M41" s="4"/>
      <c r="N41" s="78"/>
      <c r="O41" s="78"/>
      <c r="P41" s="78" t="str">
        <f t="shared" ref="P41" si="15">IF(B41&lt;&gt;1,","&amp;D41,D41)</f>
        <v>,reserve7</v>
      </c>
      <c r="Q41" s="78" t="str">
        <f t="shared" ref="Q41" si="16">UPPER(G41)</f>
        <v>TEXT</v>
      </c>
      <c r="R41" s="78" t="str">
        <f t="shared" ref="R41" si="17">IF(H41&lt;&gt;"","default "&amp;IF(G41="text","'"&amp;H41&amp;"'",H41),"")</f>
        <v/>
      </c>
      <c r="S41" s="78" t="str">
        <f t="shared" ref="S41" si="18">IF(I41="○","NOT NULL","")</f>
        <v/>
      </c>
      <c r="T41" s="78" t="str">
        <f t="shared" ref="T41" si="19">"-- "&amp;C41</f>
        <v>-- 予備7</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milscm_2023_010.azn_202310_backup_mt_comment.reserve7 IS '予備7';</v>
      </c>
    </row>
    <row r="42" spans="1:52" s="25" customFormat="1">
      <c r="A42" s="4"/>
      <c r="B42" s="21">
        <f t="shared" si="9"/>
        <v>30</v>
      </c>
      <c r="C42" s="6" t="s">
        <v>2067</v>
      </c>
      <c r="D42" s="6" t="s">
        <v>2068</v>
      </c>
      <c r="E42" s="8"/>
      <c r="F42" s="7" t="s">
        <v>740</v>
      </c>
      <c r="G42" s="7" t="str">
        <f t="shared" si="10"/>
        <v>text</v>
      </c>
      <c r="H42" s="26"/>
      <c r="I42" s="10"/>
      <c r="J42" s="11" t="s">
        <v>2024</v>
      </c>
      <c r="M42" s="4"/>
      <c r="N42" s="78"/>
      <c r="O42" s="78"/>
      <c r="P42" s="78" t="str">
        <f t="shared" si="11"/>
        <v>,reserve8</v>
      </c>
      <c r="Q42" s="78" t="str">
        <f t="shared" si="0"/>
        <v>TEXT</v>
      </c>
      <c r="R42" s="78" t="str">
        <f t="shared" si="1"/>
        <v/>
      </c>
      <c r="S42" s="78" t="str">
        <f t="shared" si="12"/>
        <v/>
      </c>
      <c r="T42" s="78" t="str">
        <f t="shared" si="13"/>
        <v>-- 予備8</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milscm_2023_010.azn_202310_backup_mt_comment.reserve8 IS '予備8';</v>
      </c>
    </row>
    <row r="43" spans="1:52" s="25" customFormat="1" ht="19.5" thickBot="1">
      <c r="A43" s="4"/>
      <c r="B43" s="27">
        <f>ROW()-12</f>
        <v>31</v>
      </c>
      <c r="C43" s="57" t="s">
        <v>2021</v>
      </c>
      <c r="D43" s="57" t="s">
        <v>1926</v>
      </c>
      <c r="E43" s="56" t="s">
        <v>127</v>
      </c>
      <c r="F43" s="56" t="s">
        <v>740</v>
      </c>
      <c r="G43" s="56" t="str">
        <f t="shared" si="10"/>
        <v>text</v>
      </c>
      <c r="H43" s="59"/>
      <c r="I43" s="60" t="s">
        <v>127</v>
      </c>
      <c r="J43" s="64" t="s">
        <v>1839</v>
      </c>
      <c r="N43" s="78"/>
      <c r="O43" s="78"/>
      <c r="P43" s="78" t="str">
        <f t="shared" si="11"/>
        <v>,update_ymd</v>
      </c>
      <c r="Q43" s="78" t="str">
        <f t="shared" si="0"/>
        <v>TEXT</v>
      </c>
      <c r="R43" s="78" t="str">
        <f t="shared" si="1"/>
        <v/>
      </c>
      <c r="S43" s="78" t="str">
        <f t="shared" si="12"/>
        <v>NOT NULL</v>
      </c>
      <c r="T43" s="78" t="str">
        <f t="shared" si="13"/>
        <v>-- データ登録日</v>
      </c>
      <c r="U43" s="4"/>
      <c r="AA43" s="4"/>
      <c r="AB43" s="4"/>
      <c r="AC43" s="4"/>
      <c r="AD43" s="4"/>
      <c r="AE43" s="4"/>
      <c r="AF43" s="4"/>
      <c r="AG43" s="4"/>
      <c r="AH43" s="4"/>
      <c r="AI43" s="4"/>
      <c r="AJ43" s="78" t="str">
        <f>IF(E43="○",IF(COUNTA(E$13:E43)=1,"",",")&amp;D43,"")</f>
        <v>,update_ymd</v>
      </c>
      <c r="AK43" s="4"/>
      <c r="AL43" s="4"/>
      <c r="AM43" s="4"/>
      <c r="AN43" s="4"/>
      <c r="AO43" s="4"/>
      <c r="AP43" s="4"/>
      <c r="AQ43" s="4"/>
      <c r="AR43" s="4"/>
      <c r="AS43" s="78" t="str">
        <f>"COMMENT ON COLUMN "&amp;エンティティ一覧!$O$2&amp;"."&amp;D$8&amp;"."&amp;D43&amp;" IS '"&amp;C43&amp;"';"</f>
        <v>COMMENT ON COLUMN milscm_2023_010.azn_202310_backup_mt_comment.update_ymd IS 'データ登録日';</v>
      </c>
    </row>
    <row r="44" spans="1:52">
      <c r="L44" s="25"/>
      <c r="M44" s="25"/>
      <c r="N44" s="78" t="s">
        <v>142</v>
      </c>
      <c r="O44" s="78"/>
      <c r="P44" s="78"/>
      <c r="Q44" s="78"/>
      <c r="R44" s="78"/>
      <c r="S44" s="78"/>
      <c r="T44" s="78"/>
      <c r="V44" s="25"/>
      <c r="W44" s="25"/>
      <c r="X44" s="25"/>
      <c r="Y44" s="25"/>
      <c r="Z44" s="25"/>
      <c r="AJ44" s="78"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900-000000000000}"/>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ENT_01_A3-08</v>
      </c>
      <c r="E6" s="239"/>
      <c r="F6" s="239"/>
      <c r="G6" s="239"/>
      <c r="H6" s="239"/>
      <c r="I6" s="239"/>
      <c r="J6" s="240"/>
    </row>
    <row r="7" spans="1:45">
      <c r="B7" s="228" t="s">
        <v>115</v>
      </c>
      <c r="C7" s="229"/>
      <c r="D7" s="230" t="s">
        <v>2072</v>
      </c>
      <c r="E7" s="231"/>
      <c r="F7" s="231"/>
      <c r="G7" s="231"/>
      <c r="H7" s="231"/>
      <c r="I7" s="231"/>
      <c r="J7" s="232"/>
    </row>
    <row r="8" spans="1:45">
      <c r="B8" s="228" t="s">
        <v>116</v>
      </c>
      <c r="C8" s="229"/>
      <c r="D8" s="230" t="str">
        <f>エンティティ一覧!AE2&amp;"_"&amp;D5&amp;"_mt_seibunryo"</f>
        <v>azn_202310_backup_mt_seibunryo</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milscm_2023_010.azn_202310_backup_mt_seibunryo;</v>
      </c>
      <c r="O10" s="78"/>
      <c r="P10" s="78"/>
      <c r="Q10" s="78"/>
      <c r="R10" s="78"/>
      <c r="S10" s="78"/>
      <c r="T10" s="78"/>
      <c r="AJ10" s="78" t="str">
        <f>"ALTER TABLE ONLY "&amp;エンティティ一覧!$O$2&amp;"."&amp;D$8</f>
        <v>ALTER TABLE ONLY milscm_2023_010.azn_202310_backup_mt_seibunryo</v>
      </c>
      <c r="AS10" s="78" t="str">
        <f>"ALTER TABLE "&amp;エンティティ一覧!$O$2&amp;"."&amp;D$8&amp;" OWNER TO pgmisgrp1;"</f>
        <v>ALTER TABLE milscm_2023_010.azn_202310_backup_mt_seibunryo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milscm_2023_010.azn_202310_backup_mt_seibunryo</v>
      </c>
      <c r="O11" s="78"/>
      <c r="P11" s="78"/>
      <c r="Q11" s="78"/>
      <c r="R11" s="78"/>
      <c r="S11" s="78"/>
      <c r="T11" s="78"/>
      <c r="AJ11" s="78" t="str">
        <f>"ADD CONSTRAINT "&amp;D$8&amp;"_pkey PRIMARY KEY"</f>
        <v>ADD CONSTRAINT azn_202310_backup_mt_seibunryo_pkey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milscm_2023_010.azn_202310_backup_mt_seibunryo IS 'バックアップ_成分量マスタ取込用';</v>
      </c>
    </row>
    <row r="13" spans="1:45" s="25" customFormat="1">
      <c r="A13" s="4"/>
      <c r="B13" s="21">
        <f>ROW()-12</f>
        <v>1</v>
      </c>
      <c r="C13" s="6" t="s">
        <v>2073</v>
      </c>
      <c r="D13" s="6" t="s">
        <v>2074</v>
      </c>
      <c r="E13" s="8" t="s">
        <v>127</v>
      </c>
      <c r="F13" s="8" t="s">
        <v>1782</v>
      </c>
      <c r="G13" s="7" t="str">
        <f>IF(F13="フラグ","boolean",IF(F13="文字列","text",IF(F13="整数","integer",IF(F13="実数","numeric",""))))</f>
        <v>text</v>
      </c>
      <c r="H13" s="9"/>
      <c r="I13" s="10" t="s">
        <v>127</v>
      </c>
      <c r="J13" s="11"/>
      <c r="M13" s="4"/>
      <c r="N13" s="78"/>
      <c r="O13" s="78"/>
      <c r="P13" s="78" t="str">
        <f>IF(B13&lt;&gt;1,","&amp;D13,D13)</f>
        <v>yj_code</v>
      </c>
      <c r="Q13" s="78" t="str">
        <f t="shared" ref="Q13:Q23" si="0">UPPER(G13)</f>
        <v>TEXT</v>
      </c>
      <c r="R13" s="78" t="str">
        <f t="shared" ref="R13:R23"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milscm_2023_010.azn_202310_backup_mt_seibunryo.yj_code IS 'ＹＪコード';</v>
      </c>
    </row>
    <row r="14" spans="1:45" s="25" customFormat="1" ht="37.5">
      <c r="A14" s="4"/>
      <c r="B14" s="21">
        <f t="shared" ref="B14:B22" si="2">ROW()-12</f>
        <v>2</v>
      </c>
      <c r="C14" s="6" t="s">
        <v>2075</v>
      </c>
      <c r="D14" s="6" t="s">
        <v>2076</v>
      </c>
      <c r="E14" s="8"/>
      <c r="F14" s="7" t="s">
        <v>1782</v>
      </c>
      <c r="G14" s="7" t="str">
        <f t="shared" ref="G14:G23" si="3">IF(F14="フラグ","boolean",IF(F14="文字列","text",IF(F14="整数","integer",IF(F14="実数","numeric",""))))</f>
        <v>text</v>
      </c>
      <c r="H14" s="26"/>
      <c r="I14" s="10" t="s">
        <v>127</v>
      </c>
      <c r="J14" s="11" t="s">
        <v>2094</v>
      </c>
      <c r="M14" s="4"/>
      <c r="N14" s="78"/>
      <c r="O14" s="78"/>
      <c r="P14" s="78" t="str">
        <f t="shared" ref="P14:P23" si="4">IF(B14&lt;&gt;1,","&amp;D14,D14)</f>
        <v>,haigozai_f</v>
      </c>
      <c r="Q14" s="78" t="str">
        <f t="shared" si="0"/>
        <v>TEXT</v>
      </c>
      <c r="R14" s="78" t="str">
        <f t="shared" si="1"/>
        <v/>
      </c>
      <c r="S14" s="78" t="str">
        <f t="shared" ref="S14:S23" si="5">IF(I14="○","NOT NULL","")</f>
        <v>NOT NULL</v>
      </c>
      <c r="T14" s="78" t="str">
        <f t="shared" ref="T14:T23" si="6">"-- "&amp;C14</f>
        <v>-- 配合剤フラグ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milscm_2023_010.azn_202310_backup_mt_seibunryo.haigozai_f IS '配合剤フラグ';</v>
      </c>
    </row>
    <row r="15" spans="1:45" s="25" customFormat="1">
      <c r="A15" s="4"/>
      <c r="B15" s="21">
        <f t="shared" si="2"/>
        <v>3</v>
      </c>
      <c r="C15" s="6" t="s">
        <v>2077</v>
      </c>
      <c r="D15" s="6" t="s">
        <v>2078</v>
      </c>
      <c r="E15" s="8"/>
      <c r="F15" s="7" t="s">
        <v>1782</v>
      </c>
      <c r="G15" s="7" t="str">
        <f t="shared" si="3"/>
        <v>text</v>
      </c>
      <c r="H15" s="26"/>
      <c r="I15" s="10" t="s">
        <v>127</v>
      </c>
      <c r="J15" s="11"/>
      <c r="M15" s="4"/>
      <c r="N15" s="78"/>
      <c r="O15" s="78"/>
      <c r="P15" s="78" t="str">
        <f t="shared" si="4"/>
        <v>,seibun_group_code</v>
      </c>
      <c r="Q15" s="78" t="str">
        <f t="shared" si="0"/>
        <v>TEXT</v>
      </c>
      <c r="R15" s="78" t="str">
        <f t="shared" si="1"/>
        <v/>
      </c>
      <c r="S15" s="78" t="str">
        <f t="shared" si="5"/>
        <v>NOT NULL</v>
      </c>
      <c r="T15" s="78" t="str">
        <f t="shared" si="6"/>
        <v>-- 成分グループコード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milscm_2023_010.azn_202310_backup_mt_seibunryo.seibun_group_code IS '成分グループコード';</v>
      </c>
    </row>
    <row r="16" spans="1:45" s="25" customFormat="1">
      <c r="A16" s="4"/>
      <c r="B16" s="21">
        <f t="shared" si="2"/>
        <v>4</v>
      </c>
      <c r="C16" s="6" t="s">
        <v>2079</v>
      </c>
      <c r="D16" s="6" t="s">
        <v>2080</v>
      </c>
      <c r="E16" s="8" t="s">
        <v>127</v>
      </c>
      <c r="F16" s="7" t="s">
        <v>1782</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milscm_2023_010.azn_202310_backup_mt_seibunryo.seibun_code IS '成分コード';</v>
      </c>
    </row>
    <row r="17" spans="1:52" s="25" customFormat="1">
      <c r="A17" s="4"/>
      <c r="B17" s="21">
        <f t="shared" si="2"/>
        <v>5</v>
      </c>
      <c r="C17" s="6" t="s">
        <v>2081</v>
      </c>
      <c r="D17" s="6" t="s">
        <v>2082</v>
      </c>
      <c r="E17" s="8"/>
      <c r="F17" s="7" t="s">
        <v>1789</v>
      </c>
      <c r="G17" s="7" t="str">
        <f t="shared" si="3"/>
        <v>numeric</v>
      </c>
      <c r="H17" s="26"/>
      <c r="I17" s="10"/>
      <c r="J17" s="11"/>
      <c r="M17" s="4"/>
      <c r="N17" s="78"/>
      <c r="O17" s="78"/>
      <c r="P17" s="78" t="str">
        <f t="shared" si="4"/>
        <v>,seibunryo</v>
      </c>
      <c r="Q17" s="78" t="str">
        <f t="shared" si="0"/>
        <v>NUMERIC</v>
      </c>
      <c r="R17" s="78" t="str">
        <f t="shared" si="1"/>
        <v/>
      </c>
      <c r="S17" s="78" t="str">
        <f t="shared" si="5"/>
        <v/>
      </c>
      <c r="T17" s="78" t="str">
        <f t="shared" si="6"/>
        <v>-- 成分量</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milscm_2023_010.azn_202310_backup_mt_seibunryo.seibunryo IS '成分量';</v>
      </c>
    </row>
    <row r="18" spans="1:52" s="25" customFormat="1">
      <c r="A18" s="4"/>
      <c r="B18" s="21">
        <f t="shared" si="2"/>
        <v>6</v>
      </c>
      <c r="C18" s="6" t="s">
        <v>2083</v>
      </c>
      <c r="D18" s="6" t="s">
        <v>2084</v>
      </c>
      <c r="E18" s="8"/>
      <c r="F18" s="7" t="s">
        <v>1782</v>
      </c>
      <c r="G18" s="7" t="str">
        <f t="shared" si="3"/>
        <v>text</v>
      </c>
      <c r="H18" s="26"/>
      <c r="I18" s="10"/>
      <c r="J18" s="11"/>
      <c r="M18" s="4"/>
      <c r="N18" s="78"/>
      <c r="O18" s="78"/>
      <c r="P18" s="78" t="str">
        <f t="shared" si="4"/>
        <v>,seibun_unit_code</v>
      </c>
      <c r="Q18" s="78" t="str">
        <f t="shared" si="0"/>
        <v>TEXT</v>
      </c>
      <c r="R18" s="78" t="str">
        <f t="shared" si="1"/>
        <v/>
      </c>
      <c r="S18" s="78" t="str">
        <f t="shared" si="5"/>
        <v/>
      </c>
      <c r="T18" s="78" t="str">
        <f t="shared" si="6"/>
        <v>-- 成分単位コード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milscm_2023_010.azn_202310_backup_mt_seibunryo.seibun_unit_code IS '成分単位コード';</v>
      </c>
    </row>
    <row r="19" spans="1:52" s="25" customFormat="1">
      <c r="A19" s="4"/>
      <c r="B19" s="21">
        <f t="shared" si="2"/>
        <v>7</v>
      </c>
      <c r="C19" s="6" t="s">
        <v>2085</v>
      </c>
      <c r="D19" s="6" t="s">
        <v>2086</v>
      </c>
      <c r="E19" s="8"/>
      <c r="F19" s="7" t="s">
        <v>1789</v>
      </c>
      <c r="G19" s="7" t="str">
        <f t="shared" si="3"/>
        <v>numeric</v>
      </c>
      <c r="H19" s="26"/>
      <c r="I19" s="10"/>
      <c r="J19" s="11"/>
      <c r="M19" s="4"/>
      <c r="N19" s="78"/>
      <c r="O19" s="78"/>
      <c r="P19" s="78" t="str">
        <f t="shared" si="4"/>
        <v>,kokuji_kikakuryo</v>
      </c>
      <c r="Q19" s="78" t="str">
        <f t="shared" si="0"/>
        <v>NUMERIC</v>
      </c>
      <c r="R19" s="78" t="str">
        <f t="shared" si="1"/>
        <v/>
      </c>
      <c r="S19" s="78" t="str">
        <f t="shared" si="5"/>
        <v/>
      </c>
      <c r="T19" s="78" t="str">
        <f t="shared" si="6"/>
        <v>-- 告示規格量</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milscm_2023_010.azn_202310_backup_mt_seibunryo.kokuji_kikakuryo IS '告示規格量';</v>
      </c>
    </row>
    <row r="20" spans="1:52" s="25" customFormat="1" ht="31.9" customHeight="1">
      <c r="A20" s="4"/>
      <c r="B20" s="21">
        <f t="shared" si="2"/>
        <v>8</v>
      </c>
      <c r="C20" s="6" t="s">
        <v>2087</v>
      </c>
      <c r="D20" s="6" t="s">
        <v>2088</v>
      </c>
      <c r="E20" s="8"/>
      <c r="F20" s="7" t="s">
        <v>1782</v>
      </c>
      <c r="G20" s="7" t="str">
        <f t="shared" si="3"/>
        <v>text</v>
      </c>
      <c r="H20" s="26"/>
      <c r="I20" s="10"/>
      <c r="J20" s="11"/>
      <c r="M20" s="4"/>
      <c r="N20" s="78"/>
      <c r="O20" s="78"/>
      <c r="P20" s="78" t="str">
        <f t="shared" si="4"/>
        <v>,kokuji_kikaku_unit_code</v>
      </c>
      <c r="Q20" s="78" t="str">
        <f t="shared" si="0"/>
        <v>TEXT</v>
      </c>
      <c r="R20" s="78" t="str">
        <f t="shared" si="1"/>
        <v/>
      </c>
      <c r="S20" s="78" t="str">
        <f t="shared" si="5"/>
        <v/>
      </c>
      <c r="T20" s="78" t="str">
        <f t="shared" si="6"/>
        <v>-- 告示規格単位コード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milscm_2023_010.azn_202310_backup_mt_seibunryo.kokuji_kikaku_unit_code IS '告示規格単位コード';</v>
      </c>
    </row>
    <row r="21" spans="1:52" s="25" customFormat="1">
      <c r="A21" s="4"/>
      <c r="B21" s="21">
        <f t="shared" si="2"/>
        <v>9</v>
      </c>
      <c r="C21" s="6" t="s">
        <v>2089</v>
      </c>
      <c r="D21" s="6" t="s">
        <v>2090</v>
      </c>
      <c r="E21" s="8"/>
      <c r="F21" s="7" t="s">
        <v>1782</v>
      </c>
      <c r="G21" s="7" t="str">
        <f t="shared" si="3"/>
        <v>text</v>
      </c>
      <c r="H21" s="26"/>
      <c r="I21" s="10"/>
      <c r="J21" s="11"/>
      <c r="M21" s="4"/>
      <c r="N21" s="78"/>
      <c r="O21" s="78"/>
      <c r="P21" s="78" t="str">
        <f t="shared" si="4"/>
        <v>,bikou</v>
      </c>
      <c r="Q21" s="78" t="str">
        <f t="shared" si="0"/>
        <v>TEXT</v>
      </c>
      <c r="R21" s="78" t="str">
        <f t="shared" si="1"/>
        <v/>
      </c>
      <c r="S21" s="78" t="str">
        <f t="shared" si="5"/>
        <v/>
      </c>
      <c r="T21" s="78" t="str">
        <f t="shared" si="6"/>
        <v>-- 備考</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milscm_2023_010.azn_202310_backup_mt_seibunryo.bikou IS '備考';</v>
      </c>
    </row>
    <row r="22" spans="1:52" s="25" customFormat="1" ht="56.25">
      <c r="A22" s="4"/>
      <c r="B22" s="21">
        <f t="shared" si="2"/>
        <v>10</v>
      </c>
      <c r="C22" s="6" t="s">
        <v>2091</v>
      </c>
      <c r="D22" s="6" t="s">
        <v>2092</v>
      </c>
      <c r="E22" s="8" t="s">
        <v>127</v>
      </c>
      <c r="F22" s="7" t="s">
        <v>1782</v>
      </c>
      <c r="G22" s="7" t="str">
        <f t="shared" si="3"/>
        <v>text</v>
      </c>
      <c r="H22" s="26"/>
      <c r="I22" s="10" t="s">
        <v>127</v>
      </c>
      <c r="J22" s="11" t="s">
        <v>2095</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milscm_2023_010.azn_202310_backup_mt_seibunryo.koshin_kubun IS '更新区分';</v>
      </c>
    </row>
    <row r="23" spans="1:52" s="25" customFormat="1" ht="19.5" thickBot="1">
      <c r="A23" s="4"/>
      <c r="B23" s="27">
        <f>ROW()-12</f>
        <v>11</v>
      </c>
      <c r="C23" s="57" t="s">
        <v>2093</v>
      </c>
      <c r="D23" s="57" t="s">
        <v>1926</v>
      </c>
      <c r="E23" s="56" t="s">
        <v>127</v>
      </c>
      <c r="F23" s="56" t="s">
        <v>1782</v>
      </c>
      <c r="G23" s="56" t="str">
        <f t="shared" si="3"/>
        <v>text</v>
      </c>
      <c r="H23" s="59"/>
      <c r="I23" s="60" t="s">
        <v>127</v>
      </c>
      <c r="J23" s="64" t="s">
        <v>2096</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milscm_2023_010.azn_202310_backup_mt_seibunryo.update_ymd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A00-000000000000}"/>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ENT_01_A3-09</v>
      </c>
      <c r="E6" s="239"/>
      <c r="F6" s="239"/>
      <c r="G6" s="239"/>
      <c r="H6" s="239"/>
      <c r="I6" s="239"/>
      <c r="J6" s="240"/>
    </row>
    <row r="7" spans="1:45">
      <c r="B7" s="228" t="s">
        <v>115</v>
      </c>
      <c r="C7" s="229"/>
      <c r="D7" s="230" t="s">
        <v>2097</v>
      </c>
      <c r="E7" s="231"/>
      <c r="F7" s="231"/>
      <c r="G7" s="231"/>
      <c r="H7" s="231"/>
      <c r="I7" s="231"/>
      <c r="J7" s="232"/>
    </row>
    <row r="8" spans="1:45">
      <c r="B8" s="228" t="s">
        <v>116</v>
      </c>
      <c r="C8" s="229"/>
      <c r="D8" s="230" t="str">
        <f>エンティティ一覧!AE2&amp;"_"&amp;D5&amp;"_mt_seibun_name"</f>
        <v>azn_202310_backup_mt_seibun_name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milscm_2023_010.azn_202310_backup_mt_seibun_name;</v>
      </c>
      <c r="O10" s="78"/>
      <c r="P10" s="78"/>
      <c r="Q10" s="78"/>
      <c r="R10" s="78"/>
      <c r="S10" s="78"/>
      <c r="T10" s="78"/>
      <c r="AJ10" s="78" t="str">
        <f>"ALTER TABLE ONLY "&amp;エンティティ一覧!$O$2&amp;"."&amp;D$8</f>
        <v>ALTER TABLE ONLY milscm_2023_010.azn_202310_backup_mt_seibun_name</v>
      </c>
      <c r="AS10" s="78" t="str">
        <f>"ALTER TABLE "&amp;エンティティ一覧!$O$2&amp;"."&amp;D$8&amp;" OWNER TO pgmisgrp1;"</f>
        <v>ALTER TABLE milscm_2023_010.azn_202310_backup_mt_seibun_name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milscm_2023_010.azn_202310_backup_mt_seibun_name</v>
      </c>
      <c r="O11" s="78"/>
      <c r="P11" s="78"/>
      <c r="Q11" s="78"/>
      <c r="R11" s="78"/>
      <c r="S11" s="78"/>
      <c r="T11" s="78"/>
      <c r="AJ11" s="78" t="str">
        <f>"ADD CONSTRAINT "&amp;D$8&amp;"_pkey PRIMARY KEY"</f>
        <v>ADD CONSTRAINT azn_202310_backup_mt_seibun_name_pkey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milscm_2023_010.azn_202310_backup_mt_seibun_name IS 'バックアップ_成分名マスタ取込用';</v>
      </c>
    </row>
    <row r="13" spans="1:45" s="25" customFormat="1">
      <c r="A13" s="4"/>
      <c r="B13" s="21">
        <f>ROW()-12</f>
        <v>1</v>
      </c>
      <c r="C13" s="6" t="s">
        <v>2098</v>
      </c>
      <c r="D13" s="6" t="s">
        <v>2099</v>
      </c>
      <c r="E13" s="8"/>
      <c r="F13" s="8" t="s">
        <v>1782</v>
      </c>
      <c r="G13" s="7" t="str">
        <f>IF(F13="フラグ","boolean",IF(F13="文字列","text",IF(F13="整数","integer",IF(F13="実数","numeric",""))))</f>
        <v>text</v>
      </c>
      <c r="H13" s="9"/>
      <c r="I13" s="10" t="s">
        <v>127</v>
      </c>
      <c r="J13" s="11"/>
      <c r="M13" s="4"/>
      <c r="N13" s="78"/>
      <c r="O13" s="78"/>
      <c r="P13" s="78" t="str">
        <f>IF(B13&lt;&gt;1,","&amp;D13,D13)</f>
        <v>management_id</v>
      </c>
      <c r="Q13" s="78" t="str">
        <f t="shared" ref="Q13:Q22" si="0">UPPER(G13)</f>
        <v>TEXT</v>
      </c>
      <c r="R13" s="78" t="str">
        <f t="shared" ref="R13:R22" si="1">IF(H13&lt;&gt;"","default "&amp;IF(G13="text","'"&amp;H13&amp;"'",H13),"")</f>
        <v/>
      </c>
      <c r="S13" s="78" t="str">
        <f>IF(I13="○","NOT NULL","")</f>
        <v>NOT NULL</v>
      </c>
      <c r="T13" s="78" t="str">
        <f>"-- "&amp;C13</f>
        <v>-- 管理ID</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milscm_2023_010.azn_202310_backup_mt_seibun_name.management_id IS '管理ID';</v>
      </c>
    </row>
    <row r="14" spans="1:45" s="25" customFormat="1">
      <c r="A14" s="4"/>
      <c r="B14" s="21">
        <f t="shared" ref="B14:B21" si="2">ROW()-12</f>
        <v>2</v>
      </c>
      <c r="C14" s="6" t="s">
        <v>2100</v>
      </c>
      <c r="D14" s="6" t="s">
        <v>2101</v>
      </c>
      <c r="E14" s="8"/>
      <c r="F14" s="7" t="s">
        <v>1782</v>
      </c>
      <c r="G14" s="7" t="str">
        <f t="shared" ref="G14:G22" si="3">IF(F14="フラグ","boolean",IF(F14="文字列","text",IF(F14="整数","integer",IF(F14="実数","numeric",""))))</f>
        <v>text</v>
      </c>
      <c r="H14" s="26"/>
      <c r="I14" s="10"/>
      <c r="J14" s="11" t="s">
        <v>2112</v>
      </c>
      <c r="M14" s="4"/>
      <c r="N14" s="78"/>
      <c r="O14" s="78"/>
      <c r="P14" s="78" t="str">
        <f t="shared" ref="P14:P22" si="4">IF(B14&lt;&gt;1,","&amp;D14,D14)</f>
        <v>,seibun_oya_level</v>
      </c>
      <c r="Q14" s="78" t="str">
        <f t="shared" si="0"/>
        <v>TEXT</v>
      </c>
      <c r="R14" s="78" t="str">
        <f t="shared" si="1"/>
        <v/>
      </c>
      <c r="S14" s="78" t="str">
        <f t="shared" ref="S14:S22" si="5">IF(I14="○","NOT NULL","")</f>
        <v/>
      </c>
      <c r="T14" s="78" t="str">
        <f t="shared" ref="T14:T22" si="6">"-- "&amp;C14</f>
        <v>-- 成分親レベル</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milscm_2023_010.azn_202310_backup_mt_seibun_name.seibun_oya_level IS '成分親レベル';</v>
      </c>
    </row>
    <row r="15" spans="1:45" s="25" customFormat="1">
      <c r="A15" s="4"/>
      <c r="B15" s="21">
        <f t="shared" si="2"/>
        <v>3</v>
      </c>
      <c r="C15" s="6" t="s">
        <v>2102</v>
      </c>
      <c r="D15" s="6" t="s">
        <v>2103</v>
      </c>
      <c r="E15" s="8" t="s">
        <v>127</v>
      </c>
      <c r="F15" s="7" t="s">
        <v>1782</v>
      </c>
      <c r="G15" s="7" t="str">
        <f t="shared" si="3"/>
        <v>text</v>
      </c>
      <c r="H15" s="26"/>
      <c r="I15" s="10" t="s">
        <v>127</v>
      </c>
      <c r="J15" s="11" t="s">
        <v>2113</v>
      </c>
      <c r="M15" s="4"/>
      <c r="N15" s="78"/>
      <c r="O15" s="78"/>
      <c r="P15" s="78" t="str">
        <f t="shared" si="4"/>
        <v>,seibun_oya_code</v>
      </c>
      <c r="Q15" s="78" t="str">
        <f t="shared" si="0"/>
        <v>TEXT</v>
      </c>
      <c r="R15" s="78" t="str">
        <f t="shared" si="1"/>
        <v/>
      </c>
      <c r="S15" s="78" t="str">
        <f t="shared" si="5"/>
        <v>NOT NULL</v>
      </c>
      <c r="T15" s="78" t="str">
        <f t="shared" si="6"/>
        <v>-- 成分親コード</v>
      </c>
      <c r="U15" s="4"/>
      <c r="AA15" s="4"/>
      <c r="AB15" s="4"/>
      <c r="AC15" s="4"/>
      <c r="AD15" s="4"/>
      <c r="AE15" s="4"/>
      <c r="AF15" s="4"/>
      <c r="AG15" s="4"/>
      <c r="AH15" s="4"/>
      <c r="AI15" s="4"/>
      <c r="AJ15" s="78" t="str">
        <f>IF(E15="○",IF(COUNTA(E$13:E15)=1,"",",")&amp;D15,"")</f>
        <v>seibun_oya_code</v>
      </c>
      <c r="AK15" s="4"/>
      <c r="AL15" s="4"/>
      <c r="AM15" s="4"/>
      <c r="AN15" s="4"/>
      <c r="AO15" s="4"/>
      <c r="AP15" s="4"/>
      <c r="AQ15" s="4"/>
      <c r="AR15" s="4"/>
      <c r="AS15" s="78" t="str">
        <f>"COMMENT ON COLUMN "&amp;エンティティ一覧!$O$2&amp;"."&amp;D$8&amp;"."&amp;D15&amp;" IS '"&amp;C15&amp;"';"</f>
        <v>COMMENT ON COLUMN milscm_2023_010.azn_202310_backup_mt_seibun_name.seibun_oya_code IS '成分親コード';</v>
      </c>
    </row>
    <row r="16" spans="1:45" s="25" customFormat="1">
      <c r="A16" s="4"/>
      <c r="B16" s="21">
        <f t="shared" si="2"/>
        <v>4</v>
      </c>
      <c r="C16" s="6" t="s">
        <v>2079</v>
      </c>
      <c r="D16" s="6" t="s">
        <v>2080</v>
      </c>
      <c r="E16" s="8" t="s">
        <v>127</v>
      </c>
      <c r="F16" s="7" t="s">
        <v>1782</v>
      </c>
      <c r="G16" s="7" t="str">
        <f t="shared" si="3"/>
        <v>text</v>
      </c>
      <c r="H16" s="26"/>
      <c r="I16" s="10" t="s">
        <v>127</v>
      </c>
      <c r="J16" s="11"/>
      <c r="M16" s="4"/>
      <c r="N16" s="78"/>
      <c r="O16" s="78"/>
      <c r="P16" s="78" t="str">
        <f t="shared" si="4"/>
        <v>,seibun_code</v>
      </c>
      <c r="Q16" s="78" t="str">
        <f t="shared" si="0"/>
        <v>TEXT</v>
      </c>
      <c r="R16" s="78" t="str">
        <f t="shared" si="1"/>
        <v/>
      </c>
      <c r="S16" s="78" t="str">
        <f t="shared" si="5"/>
        <v>NOT NULL</v>
      </c>
      <c r="T16" s="78" t="str">
        <f t="shared" si="6"/>
        <v>-- 成分コード</v>
      </c>
      <c r="U16" s="4"/>
      <c r="AA16" s="4"/>
      <c r="AB16" s="4"/>
      <c r="AC16" s="4"/>
      <c r="AD16" s="4"/>
      <c r="AE16" s="4"/>
      <c r="AF16" s="4"/>
      <c r="AG16" s="4"/>
      <c r="AH16" s="4"/>
      <c r="AI16" s="4"/>
      <c r="AJ16" s="78" t="str">
        <f>IF(E16="○",IF(COUNTA(E$13:E16)=1,"",",")&amp;D16,"")</f>
        <v>,seibun_code</v>
      </c>
      <c r="AK16" s="4"/>
      <c r="AL16" s="4"/>
      <c r="AM16" s="4"/>
      <c r="AN16" s="4"/>
      <c r="AO16" s="4"/>
      <c r="AP16" s="4"/>
      <c r="AQ16" s="4"/>
      <c r="AR16" s="4"/>
      <c r="AS16" s="78" t="str">
        <f>"COMMENT ON COLUMN "&amp;エンティティ一覧!$O$2&amp;"."&amp;D$8&amp;"."&amp;D16&amp;" IS '"&amp;C16&amp;"';"</f>
        <v>COMMENT ON COLUMN milscm_2023_010.azn_202310_backup_mt_seibun_name.seibun_code IS '成分コード';</v>
      </c>
    </row>
    <row r="17" spans="1:52" s="25" customFormat="1">
      <c r="A17" s="4"/>
      <c r="B17" s="21">
        <f t="shared" si="2"/>
        <v>5</v>
      </c>
      <c r="C17" s="6" t="s">
        <v>2104</v>
      </c>
      <c r="D17" s="6" t="s">
        <v>2105</v>
      </c>
      <c r="E17" s="8"/>
      <c r="F17" s="7" t="s">
        <v>1782</v>
      </c>
      <c r="G17" s="7" t="str">
        <f t="shared" si="3"/>
        <v>text</v>
      </c>
      <c r="H17" s="26"/>
      <c r="I17" s="10" t="s">
        <v>127</v>
      </c>
      <c r="J17" s="11" t="s">
        <v>2104</v>
      </c>
      <c r="M17" s="4"/>
      <c r="N17" s="78"/>
      <c r="O17" s="78"/>
      <c r="P17" s="78" t="str">
        <f t="shared" si="4"/>
        <v>,seibun_name</v>
      </c>
      <c r="Q17" s="78" t="str">
        <f t="shared" si="0"/>
        <v>TEXT</v>
      </c>
      <c r="R17" s="78" t="str">
        <f t="shared" si="1"/>
        <v/>
      </c>
      <c r="S17" s="78" t="str">
        <f t="shared" si="5"/>
        <v>NOT NULL</v>
      </c>
      <c r="T17" s="78" t="str">
        <f t="shared" si="6"/>
        <v>-- 成分名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milscm_2023_010.azn_202310_backup_mt_seibun_name.seibun_name IS '成分名';</v>
      </c>
    </row>
    <row r="18" spans="1:52" s="25" customFormat="1" ht="37.5">
      <c r="A18" s="4"/>
      <c r="B18" s="21">
        <f t="shared" si="2"/>
        <v>6</v>
      </c>
      <c r="C18" s="6" t="s">
        <v>2106</v>
      </c>
      <c r="D18" s="6" t="s">
        <v>2107</v>
      </c>
      <c r="E18" s="8"/>
      <c r="F18" s="7" t="s">
        <v>1782</v>
      </c>
      <c r="G18" s="7" t="str">
        <f t="shared" si="3"/>
        <v>text</v>
      </c>
      <c r="H18" s="26"/>
      <c r="I18" s="10"/>
      <c r="J18" s="11" t="s">
        <v>2114</v>
      </c>
      <c r="M18" s="4"/>
      <c r="N18" s="78"/>
      <c r="O18" s="78"/>
      <c r="P18" s="78" t="str">
        <f t="shared" si="4"/>
        <v>,tanmi_f</v>
      </c>
      <c r="Q18" s="78" t="str">
        <f t="shared" si="0"/>
        <v>TEXT</v>
      </c>
      <c r="R18" s="78" t="str">
        <f t="shared" si="1"/>
        <v/>
      </c>
      <c r="S18" s="78" t="str">
        <f t="shared" si="5"/>
        <v/>
      </c>
      <c r="T18" s="78" t="str">
        <f t="shared" si="6"/>
        <v>-- 単味フラグ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milscm_2023_010.azn_202310_backup_mt_seibun_name.tanmi_f IS '単味フラグ';</v>
      </c>
    </row>
    <row r="19" spans="1:52" s="25" customFormat="1" ht="37.5">
      <c r="A19" s="4"/>
      <c r="B19" s="21">
        <f t="shared" si="2"/>
        <v>7</v>
      </c>
      <c r="C19" s="6" t="s">
        <v>2108</v>
      </c>
      <c r="D19" s="6" t="s">
        <v>2109</v>
      </c>
      <c r="E19" s="8"/>
      <c r="F19" s="7" t="s">
        <v>1782</v>
      </c>
      <c r="G19" s="7" t="str">
        <f t="shared" si="3"/>
        <v>text</v>
      </c>
      <c r="H19" s="26"/>
      <c r="I19" s="10"/>
      <c r="J19" s="11" t="s">
        <v>2115</v>
      </c>
      <c r="M19" s="4"/>
      <c r="N19" s="78"/>
      <c r="O19" s="78"/>
      <c r="P19" s="78" t="str">
        <f t="shared" si="4"/>
        <v>,haigo_f</v>
      </c>
      <c r="Q19" s="78" t="str">
        <f t="shared" si="0"/>
        <v>TEXT</v>
      </c>
      <c r="R19" s="78" t="str">
        <f t="shared" si="1"/>
        <v/>
      </c>
      <c r="S19" s="78" t="str">
        <f t="shared" si="5"/>
        <v/>
      </c>
      <c r="T19" s="78" t="str">
        <f t="shared" si="6"/>
        <v>-- 配合フラグ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milscm_2023_010.azn_202310_backup_mt_seibun_name.haigo_f IS '配合フラグ';</v>
      </c>
    </row>
    <row r="20" spans="1:52" s="25" customFormat="1" ht="31.9" customHeight="1">
      <c r="A20" s="4"/>
      <c r="B20" s="21">
        <f t="shared" si="2"/>
        <v>8</v>
      </c>
      <c r="C20" s="6" t="s">
        <v>2110</v>
      </c>
      <c r="D20" s="6" t="s">
        <v>2111</v>
      </c>
      <c r="E20" s="8"/>
      <c r="F20" s="7" t="s">
        <v>1782</v>
      </c>
      <c r="G20" s="7" t="str">
        <f t="shared" si="3"/>
        <v>text</v>
      </c>
      <c r="H20" s="26"/>
      <c r="I20" s="10"/>
      <c r="J20" s="11" t="s">
        <v>2116</v>
      </c>
      <c r="M20" s="4"/>
      <c r="N20" s="78"/>
      <c r="O20" s="78"/>
      <c r="P20" s="78" t="str">
        <f t="shared" si="4"/>
        <v>,time_stamp</v>
      </c>
      <c r="Q20" s="78" t="str">
        <f t="shared" si="0"/>
        <v>TEXT</v>
      </c>
      <c r="R20" s="78" t="str">
        <f t="shared" si="1"/>
        <v/>
      </c>
      <c r="S20" s="78" t="str">
        <f t="shared" si="5"/>
        <v/>
      </c>
      <c r="T20" s="78" t="str">
        <f t="shared" si="6"/>
        <v>-- タイムスタンプ</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milscm_2023_010.azn_202310_backup_mt_seibun_name.time_stamp IS 'タイムスタンプ';</v>
      </c>
    </row>
    <row r="21" spans="1:52" s="25" customFormat="1" ht="56.25">
      <c r="A21" s="4"/>
      <c r="B21" s="21">
        <f t="shared" si="2"/>
        <v>9</v>
      </c>
      <c r="C21" s="6" t="s">
        <v>2091</v>
      </c>
      <c r="D21" s="6" t="s">
        <v>2092</v>
      </c>
      <c r="E21" s="8" t="s">
        <v>127</v>
      </c>
      <c r="F21" s="7" t="s">
        <v>1782</v>
      </c>
      <c r="G21" s="7" t="str">
        <f t="shared" si="3"/>
        <v>text</v>
      </c>
      <c r="H21" s="26"/>
      <c r="I21" s="10" t="s">
        <v>127</v>
      </c>
      <c r="J21" s="11" t="s">
        <v>2095</v>
      </c>
      <c r="M21" s="4"/>
      <c r="N21" s="78"/>
      <c r="O21" s="78"/>
      <c r="P21" s="78" t="str">
        <f t="shared" si="4"/>
        <v>,koshin_kubun</v>
      </c>
      <c r="Q21" s="78" t="str">
        <f t="shared" si="0"/>
        <v>TEXT</v>
      </c>
      <c r="R21" s="78" t="str">
        <f t="shared" si="1"/>
        <v/>
      </c>
      <c r="S21" s="78" t="str">
        <f t="shared" si="5"/>
        <v>NOT NULL</v>
      </c>
      <c r="T21" s="78" t="str">
        <f t="shared" si="6"/>
        <v>-- 更新区分</v>
      </c>
      <c r="U21" s="4"/>
      <c r="AA21" s="4"/>
      <c r="AB21" s="4"/>
      <c r="AC21" s="4"/>
      <c r="AD21" s="4"/>
      <c r="AE21" s="4"/>
      <c r="AF21" s="4"/>
      <c r="AG21" s="4"/>
      <c r="AH21" s="4"/>
      <c r="AI21" s="4"/>
      <c r="AJ21" s="78" t="str">
        <f>IF(E21="○",IF(COUNTA(E$13:E21)=1,"",",")&amp;D21,"")</f>
        <v>,koshin_kubun</v>
      </c>
      <c r="AK21" s="4"/>
      <c r="AL21" s="4"/>
      <c r="AM21" s="4"/>
      <c r="AN21" s="4"/>
      <c r="AO21" s="4"/>
      <c r="AP21" s="4"/>
      <c r="AQ21" s="4"/>
      <c r="AR21" s="4"/>
      <c r="AS21" s="78" t="str">
        <f>"COMMENT ON COLUMN "&amp;エンティティ一覧!$O$2&amp;"."&amp;D$8&amp;"."&amp;D21&amp;" IS '"&amp;C21&amp;"';"</f>
        <v>COMMENT ON COLUMN milscm_2023_010.azn_202310_backup_mt_seibun_name.koshin_kubun IS '更新区分';</v>
      </c>
    </row>
    <row r="22" spans="1:52" s="25" customFormat="1" ht="19.5" thickBot="1">
      <c r="A22" s="4"/>
      <c r="B22" s="27">
        <f>ROW()-12</f>
        <v>10</v>
      </c>
      <c r="C22" s="57" t="s">
        <v>2093</v>
      </c>
      <c r="D22" s="57" t="s">
        <v>1926</v>
      </c>
      <c r="E22" s="56" t="s">
        <v>127</v>
      </c>
      <c r="F22" s="56" t="s">
        <v>1782</v>
      </c>
      <c r="G22" s="56" t="str">
        <f t="shared" si="3"/>
        <v>text</v>
      </c>
      <c r="H22" s="59"/>
      <c r="I22" s="60" t="s">
        <v>127</v>
      </c>
      <c r="J22" s="64" t="s">
        <v>2117</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milscm_2023_010.azn_202310_backup_mt_seibun_name.update_ymd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B00-000000000000}"/>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ENT_01_A3-10</v>
      </c>
      <c r="E6" s="239"/>
      <c r="F6" s="239"/>
      <c r="G6" s="239"/>
      <c r="H6" s="239"/>
      <c r="I6" s="239"/>
      <c r="J6" s="240"/>
    </row>
    <row r="7" spans="1:45">
      <c r="B7" s="228" t="s">
        <v>115</v>
      </c>
      <c r="C7" s="229"/>
      <c r="D7" s="230" t="s">
        <v>2118</v>
      </c>
      <c r="E7" s="231"/>
      <c r="F7" s="231"/>
      <c r="G7" s="231"/>
      <c r="H7" s="231"/>
      <c r="I7" s="231"/>
      <c r="J7" s="232"/>
    </row>
    <row r="8" spans="1:45">
      <c r="B8" s="228" t="s">
        <v>116</v>
      </c>
      <c r="C8" s="229"/>
      <c r="D8" s="230" t="str">
        <f>エンティティ一覧!AE2&amp;"_"&amp;D5&amp;"_mt_unit"</f>
        <v>azn_202310_backup_mt_unit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単位マスタ取込用テーブルから組入れ条件の第一条件で絞り込んだ結果を格納するテーブル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milscm_2023_010.azn_202310_backup_mt_unit;</v>
      </c>
      <c r="O10" s="78"/>
      <c r="P10" s="78"/>
      <c r="Q10" s="78"/>
      <c r="R10" s="78"/>
      <c r="S10" s="78"/>
      <c r="T10" s="78"/>
      <c r="AJ10" s="78" t="str">
        <f>"ALTER TABLE ONLY "&amp;エンティティ一覧!$O$2&amp;"."&amp;D$8</f>
        <v>ALTER TABLE ONLY milscm_2023_010.azn_202310_backup_mt_unit</v>
      </c>
      <c r="AS10" s="78" t="str">
        <f>"ALTER TABLE "&amp;エンティティ一覧!$O$2&amp;"."&amp;D$8&amp;" OWNER TO pgmisgrp1;"</f>
        <v>ALTER TABLE milscm_2023_010.azn_202310_backup_mt_unit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milscm_2023_010.azn_202310_backup_mt_unit</v>
      </c>
      <c r="O11" s="78"/>
      <c r="P11" s="78"/>
      <c r="Q11" s="78"/>
      <c r="R11" s="78"/>
      <c r="S11" s="78"/>
      <c r="T11" s="78"/>
      <c r="AJ11" s="78" t="str">
        <f>"ADD CONSTRAINT "&amp;D$8&amp;"_pkey PRIMARY KEY"</f>
        <v>ADD CONSTRAINT azn_202310_backup_mt_unit_pkey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milscm_2023_010.azn_202310_backup_mt_unit IS 'バックアップ_単位マスタ取込用';</v>
      </c>
    </row>
    <row r="13" spans="1:45" s="25" customFormat="1">
      <c r="A13" s="4"/>
      <c r="B13" s="21">
        <f>ROW()-12</f>
        <v>1</v>
      </c>
      <c r="C13" s="6" t="s">
        <v>1697</v>
      </c>
      <c r="D13" s="6" t="s">
        <v>1698</v>
      </c>
      <c r="E13" s="8" t="s">
        <v>127</v>
      </c>
      <c r="F13" s="8" t="s">
        <v>1782</v>
      </c>
      <c r="G13" s="7" t="str">
        <f>IF(F13="フラグ","boolean",IF(F13="文字列","text",IF(F13="整数","integer",IF(F13="実数","numeric",""))))</f>
        <v>text</v>
      </c>
      <c r="H13" s="9"/>
      <c r="I13" s="10" t="s">
        <v>127</v>
      </c>
      <c r="J13" s="11"/>
      <c r="M13" s="4"/>
      <c r="N13" s="78"/>
      <c r="O13" s="78"/>
      <c r="P13" s="78" t="str">
        <f>IF(B13&lt;&gt;1,","&amp;D13,D13)</f>
        <v>unit_code</v>
      </c>
      <c r="Q13" s="78" t="str">
        <f t="shared" ref="Q13:Q17" si="0">UPPER(G13)</f>
        <v>TEXT</v>
      </c>
      <c r="R13" s="78" t="str">
        <f t="shared" ref="R13:R17" si="1">IF(H13&lt;&gt;"","default "&amp;IF(G13="text","'"&amp;H13&amp;"'",H13),"")</f>
        <v/>
      </c>
      <c r="S13" s="78" t="str">
        <f>IF(I13="○","NOT NULL","")</f>
        <v>NOT NULL</v>
      </c>
      <c r="T13" s="78" t="str">
        <f>"-- "&amp;C13</f>
        <v>-- 単位コード</v>
      </c>
      <c r="U13" s="4"/>
      <c r="AA13" s="4"/>
      <c r="AB13" s="4"/>
      <c r="AC13" s="4"/>
      <c r="AD13" s="4"/>
      <c r="AE13" s="4"/>
      <c r="AF13" s="4"/>
      <c r="AG13" s="4"/>
      <c r="AH13" s="4"/>
      <c r="AI13" s="4"/>
      <c r="AJ13" s="78" t="str">
        <f>IF(E13="○",IF(COUNTA(E$13:E13)=1,"",",")&amp;D13,"")</f>
        <v>unit_code</v>
      </c>
      <c r="AK13" s="4"/>
      <c r="AL13" s="4"/>
      <c r="AM13" s="4"/>
      <c r="AN13" s="4"/>
      <c r="AO13" s="4"/>
      <c r="AP13" s="4"/>
      <c r="AQ13" s="4"/>
      <c r="AR13" s="4"/>
      <c r="AS13" s="78" t="str">
        <f>"COMMENT ON COLUMN "&amp;エンティティ一覧!$O$2&amp;"."&amp;D$8&amp;"."&amp;D13&amp;" IS '"&amp;C13&amp;"';"</f>
        <v>COMMENT ON COLUMN milscm_2023_010.azn_202310_backup_mt_unit.unit_code IS '単位コード';</v>
      </c>
    </row>
    <row r="14" spans="1:45" s="25" customFormat="1">
      <c r="A14" s="4"/>
      <c r="B14" s="21">
        <f t="shared" ref="B14:B16" si="2">ROW()-12</f>
        <v>2</v>
      </c>
      <c r="C14" s="6" t="s">
        <v>2119</v>
      </c>
      <c r="D14" s="6" t="s">
        <v>2120</v>
      </c>
      <c r="E14" s="8"/>
      <c r="F14" s="7" t="s">
        <v>1782</v>
      </c>
      <c r="G14" s="7" t="str">
        <f t="shared" ref="G14:G17" si="3">IF(F14="フラグ","boolean",IF(F14="文字列","text",IF(F14="整数","integer",IF(F14="実数","numeric",""))))</f>
        <v>text</v>
      </c>
      <c r="H14" s="26"/>
      <c r="I14" s="10"/>
      <c r="J14" s="11" t="s">
        <v>2123</v>
      </c>
      <c r="M14" s="4"/>
      <c r="N14" s="78"/>
      <c r="O14" s="78"/>
      <c r="P14" s="78" t="str">
        <f t="shared" ref="P14:P17" si="4">IF(B14&lt;&gt;1,","&amp;D14,D14)</f>
        <v>,unit_name</v>
      </c>
      <c r="Q14" s="78" t="str">
        <f t="shared" si="0"/>
        <v>TEXT</v>
      </c>
      <c r="R14" s="78" t="str">
        <f t="shared" si="1"/>
        <v/>
      </c>
      <c r="S14" s="78" t="str">
        <f t="shared" ref="S14:S17" si="5">IF(I14="○","NOT NULL","")</f>
        <v/>
      </c>
      <c r="T14" s="78" t="str">
        <f t="shared" ref="T14:T17" si="6">"-- "&amp;C14</f>
        <v>-- 単位名称</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milscm_2023_010.azn_202310_backup_mt_unit.unit_name IS '単位名称';</v>
      </c>
    </row>
    <row r="15" spans="1:45" s="25" customFormat="1">
      <c r="A15" s="4"/>
      <c r="B15" s="21">
        <f t="shared" si="2"/>
        <v>3</v>
      </c>
      <c r="C15" s="6" t="s">
        <v>2121</v>
      </c>
      <c r="D15" s="6" t="s">
        <v>2122</v>
      </c>
      <c r="E15" s="8"/>
      <c r="F15" s="7" t="s">
        <v>1782</v>
      </c>
      <c r="G15" s="7" t="str">
        <f t="shared" si="3"/>
        <v>text</v>
      </c>
      <c r="H15" s="26"/>
      <c r="I15" s="10"/>
      <c r="J15" s="11" t="s">
        <v>2124</v>
      </c>
      <c r="M15" s="4"/>
      <c r="N15" s="78"/>
      <c r="O15" s="78"/>
      <c r="P15" s="78" t="str">
        <f t="shared" si="4"/>
        <v>,unit_kansan_keisu</v>
      </c>
      <c r="Q15" s="78" t="str">
        <f t="shared" si="0"/>
        <v>TEXT</v>
      </c>
      <c r="R15" s="78" t="str">
        <f t="shared" si="1"/>
        <v/>
      </c>
      <c r="S15" s="78" t="str">
        <f t="shared" si="5"/>
        <v/>
      </c>
      <c r="T15" s="78" t="str">
        <f t="shared" si="6"/>
        <v>-- 単位換算係数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milscm_2023_010.azn_202310_backup_mt_unit.unit_kansan_keisu IS '単位換算係数';</v>
      </c>
    </row>
    <row r="16" spans="1:45" s="25" customFormat="1" ht="56.25">
      <c r="A16" s="4"/>
      <c r="B16" s="21">
        <f t="shared" si="2"/>
        <v>4</v>
      </c>
      <c r="C16" s="6" t="s">
        <v>2091</v>
      </c>
      <c r="D16" s="6" t="s">
        <v>2092</v>
      </c>
      <c r="E16" s="8" t="s">
        <v>127</v>
      </c>
      <c r="F16" s="7" t="s">
        <v>1782</v>
      </c>
      <c r="G16" s="7" t="str">
        <f t="shared" si="3"/>
        <v>text</v>
      </c>
      <c r="H16" s="26"/>
      <c r="I16" s="10" t="s">
        <v>127</v>
      </c>
      <c r="J16" s="11" t="s">
        <v>2095</v>
      </c>
      <c r="M16" s="4"/>
      <c r="N16" s="78"/>
      <c r="O16" s="78"/>
      <c r="P16" s="78" t="str">
        <f t="shared" si="4"/>
        <v>,koshin_kubun</v>
      </c>
      <c r="Q16" s="78" t="str">
        <f t="shared" si="0"/>
        <v>TEXT</v>
      </c>
      <c r="R16" s="78" t="str">
        <f t="shared" si="1"/>
        <v/>
      </c>
      <c r="S16" s="78" t="str">
        <f t="shared" si="5"/>
        <v>NOT NULL</v>
      </c>
      <c r="T16" s="78" t="str">
        <f t="shared" si="6"/>
        <v>-- 更新区分</v>
      </c>
      <c r="U16" s="4"/>
      <c r="AA16" s="4"/>
      <c r="AB16" s="4"/>
      <c r="AC16" s="4"/>
      <c r="AD16" s="4"/>
      <c r="AE16" s="4"/>
      <c r="AF16" s="4"/>
      <c r="AG16" s="4"/>
      <c r="AH16" s="4"/>
      <c r="AI16" s="4"/>
      <c r="AJ16" s="78" t="str">
        <f>IF(E16="○",IF(COUNTA(E$13:E16)=1,"",",")&amp;D16,"")</f>
        <v>,koshin_kubun</v>
      </c>
      <c r="AK16" s="4"/>
      <c r="AL16" s="4"/>
      <c r="AM16" s="4"/>
      <c r="AN16" s="4"/>
      <c r="AO16" s="4"/>
      <c r="AP16" s="4"/>
      <c r="AQ16" s="4"/>
      <c r="AR16" s="4"/>
      <c r="AS16" s="78" t="str">
        <f>"COMMENT ON COLUMN "&amp;エンティティ一覧!$O$2&amp;"."&amp;D$8&amp;"."&amp;D16&amp;" IS '"&amp;C16&amp;"';"</f>
        <v>COMMENT ON COLUMN milscm_2023_010.azn_202310_backup_mt_unit.koshin_kubun IS '更新区分';</v>
      </c>
    </row>
    <row r="17" spans="1:52" s="25" customFormat="1" ht="19.5" thickBot="1">
      <c r="A17" s="4"/>
      <c r="B17" s="27">
        <f>ROW()-12</f>
        <v>5</v>
      </c>
      <c r="C17" s="57" t="s">
        <v>2093</v>
      </c>
      <c r="D17" s="57" t="s">
        <v>1926</v>
      </c>
      <c r="E17" s="56" t="s">
        <v>127</v>
      </c>
      <c r="F17" s="56" t="s">
        <v>1782</v>
      </c>
      <c r="G17" s="56" t="str">
        <f t="shared" si="3"/>
        <v>text</v>
      </c>
      <c r="H17" s="59"/>
      <c r="I17" s="60" t="s">
        <v>127</v>
      </c>
      <c r="J17" s="64" t="s">
        <v>2117</v>
      </c>
      <c r="N17" s="78"/>
      <c r="O17" s="78"/>
      <c r="P17" s="78" t="str">
        <f t="shared" si="4"/>
        <v>,update_ymd</v>
      </c>
      <c r="Q17" s="78" t="str">
        <f t="shared" si="0"/>
        <v>TEXT</v>
      </c>
      <c r="R17" s="78" t="str">
        <f t="shared" si="1"/>
        <v/>
      </c>
      <c r="S17" s="78" t="str">
        <f t="shared" si="5"/>
        <v>NOT NULL</v>
      </c>
      <c r="T17" s="78" t="str">
        <f t="shared" si="6"/>
        <v>-- データ登録日</v>
      </c>
      <c r="U17" s="4"/>
      <c r="AA17" s="4"/>
      <c r="AB17" s="4"/>
      <c r="AC17" s="4"/>
      <c r="AD17" s="4"/>
      <c r="AE17" s="4"/>
      <c r="AF17" s="4"/>
      <c r="AG17" s="4"/>
      <c r="AH17" s="4"/>
      <c r="AI17" s="4"/>
      <c r="AJ17" s="78" t="str">
        <f>IF(E17="○",IF(COUNTA(E$13:E17)=1,"",",")&amp;D17,"")</f>
        <v>,update_ymd</v>
      </c>
      <c r="AK17" s="4"/>
      <c r="AL17" s="4"/>
      <c r="AM17" s="4"/>
      <c r="AN17" s="4"/>
      <c r="AO17" s="4"/>
      <c r="AP17" s="4"/>
      <c r="AQ17" s="4"/>
      <c r="AR17" s="4"/>
      <c r="AS17" s="78" t="str">
        <f>"COMMENT ON COLUMN "&amp;エンティティ一覧!$O$2&amp;"."&amp;D$8&amp;"."&amp;D17&amp;" IS '"&amp;C17&amp;"';"</f>
        <v>COMMENT ON COLUMN milscm_2023_010.azn_202310_backup_mt_unit.update_ymd IS 'データ登録日';</v>
      </c>
    </row>
    <row r="18" spans="1:52">
      <c r="L18" s="25"/>
      <c r="M18" s="25"/>
      <c r="N18" s="78" t="s">
        <v>142</v>
      </c>
      <c r="O18" s="78"/>
      <c r="P18" s="78"/>
      <c r="Q18" s="78"/>
      <c r="R18" s="78"/>
      <c r="S18" s="78"/>
      <c r="T18" s="78"/>
      <c r="V18" s="25"/>
      <c r="W18" s="25"/>
      <c r="X18" s="25"/>
      <c r="Y18" s="25"/>
      <c r="Z18" s="25"/>
      <c r="AJ18" s="78"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C00-000000000000}"/>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ENT_01_A3-11</v>
      </c>
      <c r="E6" s="239"/>
      <c r="F6" s="239"/>
      <c r="G6" s="239"/>
      <c r="H6" s="239"/>
      <c r="I6" s="239"/>
      <c r="J6" s="240"/>
    </row>
    <row r="7" spans="1:45">
      <c r="B7" s="228" t="s">
        <v>115</v>
      </c>
      <c r="C7" s="229"/>
      <c r="D7" s="230" t="s">
        <v>2125</v>
      </c>
      <c r="E7" s="231"/>
      <c r="F7" s="231"/>
      <c r="G7" s="231"/>
      <c r="H7" s="231"/>
      <c r="I7" s="231"/>
      <c r="J7" s="232"/>
    </row>
    <row r="8" spans="1:45">
      <c r="B8" s="228" t="s">
        <v>116</v>
      </c>
      <c r="C8" s="229"/>
      <c r="D8" s="230" t="str">
        <f>エンティティ一覧!AE2&amp;"_"&amp;D5&amp;"_mt_tekiyou_recept_combi_link"</f>
        <v>azn_202310_backup_mt_tekiyou_recept_combi_link</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milscm_2023_010.azn_202310_backup_mt_tekiyou_recept_combi_link;</v>
      </c>
      <c r="O10" s="78"/>
      <c r="P10" s="78"/>
      <c r="Q10" s="78"/>
      <c r="R10" s="78"/>
      <c r="S10" s="78"/>
      <c r="T10" s="78"/>
      <c r="AJ10" s="78" t="str">
        <f>"ALTER TABLE ONLY "&amp;エンティティ一覧!$O$2&amp;"."&amp;D$8</f>
        <v>ALTER TABLE ONLY milscm_2023_010.azn_202310_backup_mt_tekiyou_recept_combi_link</v>
      </c>
      <c r="AS10" s="78" t="str">
        <f>"ALTER TABLE "&amp;エンティティ一覧!$O$2&amp;"."&amp;D$8&amp;" OWNER TO pgmisgrp1;"</f>
        <v>ALTER TABLE milscm_2023_010.azn_202310_backup_mt_tekiyou_recept_combi_link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milscm_2023_010.azn_202310_backup_mt_tekiyou_recept_combi_link</v>
      </c>
      <c r="O11" s="78"/>
      <c r="P11" s="78"/>
      <c r="Q11" s="78"/>
      <c r="R11" s="78"/>
      <c r="S11" s="78"/>
      <c r="T11" s="78"/>
      <c r="AJ11" s="78" t="str">
        <f>"ADD CONSTRAINT "&amp;D$8&amp;"_pkey PRIMARY KEY"</f>
        <v>ADD CONSTRAINT azn_202310_backup_mt_tekiyou_recept_combi_link_pkey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milscm_2023_010.azn_202310_backup_mt_tekiyou_recept_combi_link IS 'バックアップ_適応病名レセ病名組み合わせ関係リンクマスタ取込用';</v>
      </c>
    </row>
    <row r="13" spans="1:45" s="25" customFormat="1" ht="31.5">
      <c r="A13" s="4"/>
      <c r="B13" s="21">
        <f>ROW()-12</f>
        <v>1</v>
      </c>
      <c r="C13" s="6" t="s">
        <v>2126</v>
      </c>
      <c r="D13" s="6" t="s">
        <v>2127</v>
      </c>
      <c r="E13" s="8" t="s">
        <v>127</v>
      </c>
      <c r="F13" s="8" t="s">
        <v>1782</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23" si="0">UPPER(G13)</f>
        <v>TEXT</v>
      </c>
      <c r="R13" s="78" t="str">
        <f t="shared" ref="R13:R23"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milscm_2023_010.azn_202310_backup_mt_tekiyou_recept_combi_link.tekiyou_byoumei_link_code IS '適用病名組み合わせコード';</v>
      </c>
    </row>
    <row r="14" spans="1:45" s="25" customFormat="1">
      <c r="A14" s="4"/>
      <c r="B14" s="21">
        <f t="shared" ref="B14:B22" si="2">ROW()-12</f>
        <v>2</v>
      </c>
      <c r="C14" s="6" t="s">
        <v>2128</v>
      </c>
      <c r="D14" s="6" t="s">
        <v>2129</v>
      </c>
      <c r="E14" s="8" t="s">
        <v>127</v>
      </c>
      <c r="F14" s="7" t="s">
        <v>1782</v>
      </c>
      <c r="G14" s="7" t="str">
        <f t="shared" ref="G14:G23" si="3">IF(F14="フラグ","boolean",IF(F14="文字列","text",IF(F14="整数","integer",IF(F14="実数","numeric",""))))</f>
        <v>text</v>
      </c>
      <c r="H14" s="26"/>
      <c r="I14" s="10" t="s">
        <v>127</v>
      </c>
      <c r="J14" s="11"/>
      <c r="M14" s="4"/>
      <c r="N14" s="78"/>
      <c r="O14" s="78"/>
      <c r="P14" s="78" t="str">
        <f t="shared" ref="P14:P23" si="4">IF(B14&lt;&gt;1,","&amp;D14,D14)</f>
        <v>,tekiyou_byoumei_code</v>
      </c>
      <c r="Q14" s="78" t="str">
        <f t="shared" si="0"/>
        <v>TEXT</v>
      </c>
      <c r="R14" s="78" t="str">
        <f t="shared" si="1"/>
        <v/>
      </c>
      <c r="S14" s="78" t="str">
        <f t="shared" ref="S14:S23" si="5">IF(I14="○","NOT NULL","")</f>
        <v>NOT NULL</v>
      </c>
      <c r="T14" s="78" t="str">
        <f t="shared" ref="T14:T23" si="6">"-- "&amp;C14</f>
        <v>-- 適用病名コード</v>
      </c>
      <c r="U14" s="4"/>
      <c r="AA14" s="4"/>
      <c r="AB14" s="4"/>
      <c r="AC14" s="4"/>
      <c r="AD14" s="4"/>
      <c r="AE14" s="4"/>
      <c r="AF14" s="4"/>
      <c r="AG14" s="4"/>
      <c r="AH14" s="4"/>
      <c r="AI14" s="4"/>
      <c r="AJ14" s="78" t="str">
        <f>IF(E14="○",IF(COUNTA(E$13:E14)=1,"",",")&amp;D14,"")</f>
        <v>,tekiyou_byoumei_code</v>
      </c>
      <c r="AK14" s="4"/>
      <c r="AL14" s="4"/>
      <c r="AM14" s="4"/>
      <c r="AN14" s="4"/>
      <c r="AO14" s="4"/>
      <c r="AP14" s="4"/>
      <c r="AQ14" s="4"/>
      <c r="AR14" s="4"/>
      <c r="AS14" s="78" t="str">
        <f>"COMMENT ON COLUMN "&amp;エンティティ一覧!$O$2&amp;"."&amp;D$8&amp;"."&amp;D14&amp;" IS '"&amp;C14&amp;"';"</f>
        <v>COMMENT ON COLUMN milscm_2023_010.azn_202310_backup_mt_tekiyou_recept_combi_link.tekiyou_byoumei_code IS '適用病名コード';</v>
      </c>
    </row>
    <row r="15" spans="1:45" s="25" customFormat="1" ht="37.5">
      <c r="A15" s="4"/>
      <c r="B15" s="21">
        <f t="shared" si="2"/>
        <v>3</v>
      </c>
      <c r="C15" s="6" t="s">
        <v>2130</v>
      </c>
      <c r="D15" s="6" t="s">
        <v>2131</v>
      </c>
      <c r="E15" s="8" t="s">
        <v>127</v>
      </c>
      <c r="F15" s="7" t="s">
        <v>1782</v>
      </c>
      <c r="G15" s="7" t="str">
        <f t="shared" si="3"/>
        <v>text</v>
      </c>
      <c r="H15" s="26"/>
      <c r="I15" s="10" t="s">
        <v>127</v>
      </c>
      <c r="J15" s="11" t="s">
        <v>2141</v>
      </c>
      <c r="M15" s="4"/>
      <c r="N15" s="78"/>
      <c r="O15" s="78"/>
      <c r="P15" s="78" t="str">
        <f t="shared" si="4"/>
        <v>,shikkan_code</v>
      </c>
      <c r="Q15" s="78" t="str">
        <f t="shared" si="0"/>
        <v>TEXT</v>
      </c>
      <c r="R15" s="78" t="str">
        <f t="shared" si="1"/>
        <v/>
      </c>
      <c r="S15" s="78" t="str">
        <f t="shared" si="5"/>
        <v>NOT NULL</v>
      </c>
      <c r="T15" s="78" t="str">
        <f t="shared" si="6"/>
        <v>-- 疾患コード</v>
      </c>
      <c r="U15" s="4"/>
      <c r="AA15" s="4"/>
      <c r="AB15" s="4"/>
      <c r="AC15" s="4"/>
      <c r="AD15" s="4"/>
      <c r="AE15" s="4"/>
      <c r="AF15" s="4"/>
      <c r="AG15" s="4"/>
      <c r="AH15" s="4"/>
      <c r="AI15" s="4"/>
      <c r="AJ15" s="78" t="str">
        <f>IF(E15="○",IF(COUNTA(E$13:E15)=1,"",",")&amp;D15,"")</f>
        <v>,shikkan_code</v>
      </c>
      <c r="AK15" s="4"/>
      <c r="AL15" s="4"/>
      <c r="AM15" s="4"/>
      <c r="AN15" s="4"/>
      <c r="AO15" s="4"/>
      <c r="AP15" s="4"/>
      <c r="AQ15" s="4"/>
      <c r="AR15" s="4"/>
      <c r="AS15" s="78" t="str">
        <f>"COMMENT ON COLUMN "&amp;エンティティ一覧!$O$2&amp;"."&amp;D$8&amp;"."&amp;D15&amp;" IS '"&amp;C15&amp;"';"</f>
        <v>COMMENT ON COLUMN milscm_2023_010.azn_202310_backup_mt_tekiyou_recept_combi_link.shikkan_code IS '疾患コード';</v>
      </c>
    </row>
    <row r="16" spans="1:45" s="25" customFormat="1">
      <c r="A16" s="4"/>
      <c r="B16" s="21">
        <f t="shared" si="2"/>
        <v>4</v>
      </c>
      <c r="C16" s="6" t="s">
        <v>2132</v>
      </c>
      <c r="D16" s="6" t="s">
        <v>2133</v>
      </c>
      <c r="E16" s="8"/>
      <c r="F16" s="7" t="s">
        <v>1782</v>
      </c>
      <c r="G16" s="7" t="str">
        <f t="shared" ref="G16:G21" si="7">IF(F16="フラグ","boolean",IF(F16="文字列","text",IF(F16="整数","integer",IF(F16="実数","numeric",""))))</f>
        <v>text</v>
      </c>
      <c r="H16" s="26"/>
      <c r="I16" s="10"/>
      <c r="J16" s="11"/>
      <c r="M16" s="4"/>
      <c r="N16" s="78"/>
      <c r="O16" s="78"/>
      <c r="P16" s="78" t="str">
        <f t="shared" ref="P16:P21" si="8">IF(B16&lt;&gt;1,","&amp;D16,D16)</f>
        <v>,shikkan_name</v>
      </c>
      <c r="Q16" s="78" t="str">
        <f t="shared" ref="Q16:Q21" si="9">UPPER(G16)</f>
        <v>TEXT</v>
      </c>
      <c r="R16" s="78" t="str">
        <f t="shared" ref="R16:R21" si="10">IF(H16&lt;&gt;"","default "&amp;IF(G16="text","'"&amp;H16&amp;"'",H16),"")</f>
        <v/>
      </c>
      <c r="S16" s="78" t="str">
        <f t="shared" ref="S16:S21" si="11">IF(I16="○","NOT NULL","")</f>
        <v/>
      </c>
      <c r="T16" s="78" t="str">
        <f t="shared" ref="T16:T21" si="12">"-- "&amp;C16</f>
        <v>-- 疾患名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milscm_2023_010.azn_202310_backup_mt_tekiyou_recept_combi_link.shikkan_name IS '疾患名';</v>
      </c>
    </row>
    <row r="17" spans="1:52" s="25" customFormat="1" ht="37.5">
      <c r="A17" s="4"/>
      <c r="B17" s="21">
        <f t="shared" si="2"/>
        <v>5</v>
      </c>
      <c r="C17" s="6" t="s">
        <v>1952</v>
      </c>
      <c r="D17" s="6" t="s">
        <v>2014</v>
      </c>
      <c r="E17" s="8"/>
      <c r="F17" s="7" t="s">
        <v>1782</v>
      </c>
      <c r="G17" s="7" t="str">
        <f t="shared" si="7"/>
        <v>text</v>
      </c>
      <c r="H17" s="26"/>
      <c r="I17" s="10"/>
      <c r="J17" s="11" t="s">
        <v>2142</v>
      </c>
      <c r="M17" s="4"/>
      <c r="N17" s="78"/>
      <c r="O17" s="78"/>
      <c r="P17" s="78" t="str">
        <f t="shared" si="8"/>
        <v>,haishi_ymd</v>
      </c>
      <c r="Q17" s="78" t="str">
        <f t="shared" si="9"/>
        <v>TEXT</v>
      </c>
      <c r="R17" s="78" t="str">
        <f t="shared" si="10"/>
        <v/>
      </c>
      <c r="S17" s="78" t="str">
        <f t="shared" si="11"/>
        <v/>
      </c>
      <c r="T17" s="78" t="str">
        <f t="shared" si="12"/>
        <v>-- 廃止年月日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milscm_2023_010.azn_202310_backup_mt_tekiyou_recept_combi_link.haishi_ymd IS '廃止年月日';</v>
      </c>
    </row>
    <row r="18" spans="1:52" s="25" customFormat="1" ht="37.5">
      <c r="A18" s="4"/>
      <c r="B18" s="21">
        <f t="shared" si="2"/>
        <v>6</v>
      </c>
      <c r="C18" s="6" t="s">
        <v>2134</v>
      </c>
      <c r="D18" s="6" t="s">
        <v>2135</v>
      </c>
      <c r="E18" s="8"/>
      <c r="F18" s="7" t="s">
        <v>1782</v>
      </c>
      <c r="G18" s="7" t="str">
        <f t="shared" si="7"/>
        <v>text</v>
      </c>
      <c r="H18" s="26"/>
      <c r="I18" s="10"/>
      <c r="J18" s="11" t="s">
        <v>2143</v>
      </c>
      <c r="M18" s="4"/>
      <c r="N18" s="78"/>
      <c r="O18" s="78"/>
      <c r="P18" s="78" t="str">
        <f t="shared" si="8"/>
        <v>,hoken_tekiyougai_f</v>
      </c>
      <c r="Q18" s="78" t="str">
        <f t="shared" si="9"/>
        <v>TEXT</v>
      </c>
      <c r="R18" s="78" t="str">
        <f t="shared" si="10"/>
        <v/>
      </c>
      <c r="S18" s="78" t="str">
        <f t="shared" si="11"/>
        <v/>
      </c>
      <c r="T18" s="78" t="str">
        <f t="shared" si="12"/>
        <v xml:space="preserve">-- 保険適用外フラグ </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milscm_2023_010.azn_202310_backup_mt_tekiyou_recept_combi_link.hoken_tekiyougai_f IS '保険適用外フラグ ';</v>
      </c>
    </row>
    <row r="19" spans="1:52" s="25" customFormat="1">
      <c r="A19" s="4"/>
      <c r="B19" s="21">
        <f t="shared" si="2"/>
        <v>7</v>
      </c>
      <c r="C19" s="6" t="s">
        <v>2136</v>
      </c>
      <c r="D19" s="6" t="s">
        <v>874</v>
      </c>
      <c r="E19" s="8"/>
      <c r="F19" s="7" t="s">
        <v>1782</v>
      </c>
      <c r="G19" s="7" t="str">
        <f t="shared" si="7"/>
        <v>text</v>
      </c>
      <c r="H19" s="26"/>
      <c r="I19" s="10"/>
      <c r="J19" s="11"/>
      <c r="M19" s="4"/>
      <c r="N19" s="78"/>
      <c r="O19" s="78"/>
      <c r="P19" s="78" t="str">
        <f t="shared" si="8"/>
        <v>,icd10_code</v>
      </c>
      <c r="Q19" s="78" t="str">
        <f t="shared" si="9"/>
        <v>TEXT</v>
      </c>
      <c r="R19" s="78" t="str">
        <f t="shared" si="10"/>
        <v/>
      </c>
      <c r="S19" s="78" t="str">
        <f t="shared" si="11"/>
        <v/>
      </c>
      <c r="T19" s="78" t="str">
        <f t="shared" si="12"/>
        <v>-- ICD10</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milscm_2023_010.azn_202310_backup_mt_tekiyou_recept_combi_link.icd10_code IS 'ICD10';</v>
      </c>
    </row>
    <row r="20" spans="1:52" s="25" customFormat="1">
      <c r="A20" s="4"/>
      <c r="B20" s="21">
        <f t="shared" si="2"/>
        <v>8</v>
      </c>
      <c r="C20" s="6" t="s">
        <v>2137</v>
      </c>
      <c r="D20" s="6" t="s">
        <v>2138</v>
      </c>
      <c r="E20" s="8"/>
      <c r="F20" s="7" t="s">
        <v>1782</v>
      </c>
      <c r="G20" s="7" t="str">
        <f t="shared" si="7"/>
        <v>text</v>
      </c>
      <c r="H20" s="26"/>
      <c r="I20" s="10"/>
      <c r="J20" s="11"/>
      <c r="M20" s="4"/>
      <c r="N20" s="78"/>
      <c r="O20" s="78"/>
      <c r="P20" s="78" t="str">
        <f t="shared" si="8"/>
        <v>,kumiawase_code</v>
      </c>
      <c r="Q20" s="78" t="str">
        <f t="shared" si="9"/>
        <v>TEXT</v>
      </c>
      <c r="R20" s="78" t="str">
        <f t="shared" si="10"/>
        <v/>
      </c>
      <c r="S20" s="78" t="str">
        <f t="shared" si="11"/>
        <v/>
      </c>
      <c r="T20" s="78" t="str">
        <f t="shared" si="12"/>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milscm_2023_010.azn_202310_backup_mt_tekiyou_recept_combi_link.kumiawase_code IS '組み合わせコード';</v>
      </c>
    </row>
    <row r="21" spans="1:52" s="25" customFormat="1">
      <c r="A21" s="4"/>
      <c r="B21" s="21">
        <f t="shared" si="2"/>
        <v>9</v>
      </c>
      <c r="C21" s="6" t="s">
        <v>2139</v>
      </c>
      <c r="D21" s="6" t="s">
        <v>2140</v>
      </c>
      <c r="E21" s="8"/>
      <c r="F21" s="7" t="s">
        <v>1782</v>
      </c>
      <c r="G21" s="7" t="str">
        <f t="shared" si="7"/>
        <v>text</v>
      </c>
      <c r="H21" s="26"/>
      <c r="I21" s="10"/>
      <c r="J21" s="11"/>
      <c r="M21" s="4"/>
      <c r="N21" s="78"/>
      <c r="O21" s="78"/>
      <c r="P21" s="78" t="str">
        <f t="shared" si="8"/>
        <v>,kankeisei_code</v>
      </c>
      <c r="Q21" s="78" t="str">
        <f t="shared" si="9"/>
        <v>TEXT</v>
      </c>
      <c r="R21" s="78" t="str">
        <f t="shared" si="10"/>
        <v/>
      </c>
      <c r="S21" s="78" t="str">
        <f t="shared" si="11"/>
        <v/>
      </c>
      <c r="T21" s="78" t="str">
        <f t="shared" si="12"/>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milscm_2023_010.azn_202310_backup_mt_tekiyou_recept_combi_link.kankeisei_code IS '関係性レベルコード';</v>
      </c>
    </row>
    <row r="22" spans="1:52" s="25" customFormat="1" ht="56.25">
      <c r="A22" s="4"/>
      <c r="B22" s="21">
        <f t="shared" si="2"/>
        <v>10</v>
      </c>
      <c r="C22" s="6" t="s">
        <v>2091</v>
      </c>
      <c r="D22" s="6" t="s">
        <v>2092</v>
      </c>
      <c r="E22" s="8" t="s">
        <v>127</v>
      </c>
      <c r="F22" s="7" t="s">
        <v>1782</v>
      </c>
      <c r="G22" s="7" t="str">
        <f t="shared" si="3"/>
        <v>text</v>
      </c>
      <c r="H22" s="26"/>
      <c r="I22" s="10" t="s">
        <v>127</v>
      </c>
      <c r="J22" s="11" t="s">
        <v>2095</v>
      </c>
      <c r="M22" s="4"/>
      <c r="N22" s="78"/>
      <c r="O22" s="78"/>
      <c r="P22" s="78" t="str">
        <f t="shared" si="4"/>
        <v>,koshin_kubun</v>
      </c>
      <c r="Q22" s="78" t="str">
        <f t="shared" si="0"/>
        <v>TEXT</v>
      </c>
      <c r="R22" s="78" t="str">
        <f t="shared" si="1"/>
        <v/>
      </c>
      <c r="S22" s="78" t="str">
        <f t="shared" si="5"/>
        <v>NOT NULL</v>
      </c>
      <c r="T22" s="78" t="str">
        <f t="shared" si="6"/>
        <v>-- 更新区分</v>
      </c>
      <c r="U22" s="4"/>
      <c r="AA22" s="4"/>
      <c r="AB22" s="4"/>
      <c r="AC22" s="4"/>
      <c r="AD22" s="4"/>
      <c r="AE22" s="4"/>
      <c r="AF22" s="4"/>
      <c r="AG22" s="4"/>
      <c r="AH22" s="4"/>
      <c r="AI22" s="4"/>
      <c r="AJ22" s="78" t="str">
        <f>IF(E22="○",IF(COUNTA(E$13:E22)=1,"",",")&amp;D22,"")</f>
        <v>,koshin_kubun</v>
      </c>
      <c r="AK22" s="4"/>
      <c r="AL22" s="4"/>
      <c r="AM22" s="4"/>
      <c r="AN22" s="4"/>
      <c r="AO22" s="4"/>
      <c r="AP22" s="4"/>
      <c r="AQ22" s="4"/>
      <c r="AR22" s="4"/>
      <c r="AS22" s="78" t="str">
        <f>"COMMENT ON COLUMN "&amp;エンティティ一覧!$O$2&amp;"."&amp;D$8&amp;"."&amp;D22&amp;" IS '"&amp;C22&amp;"';"</f>
        <v>COMMENT ON COLUMN milscm_2023_010.azn_202310_backup_mt_tekiyou_recept_combi_link.koshin_kubun IS '更新区分';</v>
      </c>
    </row>
    <row r="23" spans="1:52" s="25" customFormat="1" ht="19.5" thickBot="1">
      <c r="A23" s="4"/>
      <c r="B23" s="27">
        <f>ROW()-12</f>
        <v>11</v>
      </c>
      <c r="C23" s="57" t="s">
        <v>2093</v>
      </c>
      <c r="D23" s="57" t="s">
        <v>1926</v>
      </c>
      <c r="E23" s="56" t="s">
        <v>127</v>
      </c>
      <c r="F23" s="56" t="s">
        <v>1782</v>
      </c>
      <c r="G23" s="56" t="str">
        <f t="shared" si="3"/>
        <v>text</v>
      </c>
      <c r="H23" s="59"/>
      <c r="I23" s="60" t="s">
        <v>127</v>
      </c>
      <c r="J23" s="64" t="s">
        <v>2117</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,update_ymd</v>
      </c>
      <c r="AK23" s="4"/>
      <c r="AL23" s="4"/>
      <c r="AM23" s="4"/>
      <c r="AN23" s="4"/>
      <c r="AO23" s="4"/>
      <c r="AP23" s="4"/>
      <c r="AQ23" s="4"/>
      <c r="AR23" s="4"/>
      <c r="AS23" s="78" t="str">
        <f>"COMMENT ON COLUMN "&amp;エンティティ一覧!$O$2&amp;"."&amp;D$8&amp;"."&amp;D23&amp;" IS '"&amp;C23&amp;"';"</f>
        <v>COMMENT ON COLUMN milscm_2023_010.azn_202310_backup_mt_tekiyou_recept_combi_link.update_ymd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D00-000000000000}"/>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ENT_01_A3-12</v>
      </c>
      <c r="E6" s="239"/>
      <c r="F6" s="239"/>
      <c r="G6" s="239"/>
      <c r="H6" s="239"/>
      <c r="I6" s="239"/>
      <c r="J6" s="240"/>
    </row>
    <row r="7" spans="1:45">
      <c r="B7" s="228" t="s">
        <v>115</v>
      </c>
      <c r="C7" s="229"/>
      <c r="D7" s="230" t="s">
        <v>2144</v>
      </c>
      <c r="E7" s="231"/>
      <c r="F7" s="231"/>
      <c r="G7" s="231"/>
      <c r="H7" s="231"/>
      <c r="I7" s="231"/>
      <c r="J7" s="232"/>
    </row>
    <row r="8" spans="1:45">
      <c r="B8" s="228" t="s">
        <v>116</v>
      </c>
      <c r="C8" s="229"/>
      <c r="D8" s="230" t="str">
        <f>エンティティ一覧!AE2&amp;"_"&amp;D5&amp;"_mt_tekiyou_recept_combi_link_oyako"</f>
        <v>azn_202310_backup_mt_tekiyou_recept_combi_link_oyako</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milscm_2023_010.azn_202310_backup_mt_tekiyou_recept_combi_link_oyako;</v>
      </c>
      <c r="O10" s="78"/>
      <c r="P10" s="78"/>
      <c r="Q10" s="78"/>
      <c r="R10" s="78"/>
      <c r="S10" s="78"/>
      <c r="T10" s="78"/>
      <c r="AJ10" s="78" t="str">
        <f>"ALTER TABLE ONLY "&amp;エンティティ一覧!$O$2&amp;"."&amp;D$8</f>
        <v>ALTER TABLE ONLY milscm_2023_010.azn_202310_backup_mt_tekiyou_recept_combi_link_oyako</v>
      </c>
      <c r="AS10" s="78" t="str">
        <f>"ALTER TABLE "&amp;エンティティ一覧!$O$2&amp;"."&amp;D$8&amp;" OWNER TO pgmisgrp1;"</f>
        <v>ALTER TABLE milscm_2023_010.azn_202310_backup_mt_tekiyou_recept_combi_link_oyako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milscm_2023_010.azn_202310_backup_mt_tekiyou_recept_combi_link_oyako</v>
      </c>
      <c r="O11" s="78"/>
      <c r="P11" s="78"/>
      <c r="Q11" s="78"/>
      <c r="R11" s="78"/>
      <c r="S11" s="78"/>
      <c r="T11" s="78"/>
      <c r="AJ11" s="78" t="str">
        <f>"ADD CONSTRAINT "&amp;D$8&amp;"_pkey PRIMARY KEY"</f>
        <v>ADD CONSTRAINT azn_202310_backup_mt_tekiyou_recept_combi_link_oyako_pkey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milscm_2023_010.azn_202310_backup_mt_tekiyou_recept_combi_link_oyako IS 'バックアップ_適応病名レセ病名組み合わせ関係リンク親子マスタ取込用';</v>
      </c>
    </row>
    <row r="13" spans="1:45" s="25" customFormat="1" ht="31.5">
      <c r="A13" s="4"/>
      <c r="B13" s="21">
        <f>ROW()-12</f>
        <v>1</v>
      </c>
      <c r="C13" s="6" t="s">
        <v>2126</v>
      </c>
      <c r="D13" s="6" t="s">
        <v>2127</v>
      </c>
      <c r="E13" s="8" t="s">
        <v>127</v>
      </c>
      <c r="F13" s="8" t="s">
        <v>1782</v>
      </c>
      <c r="G13" s="7" t="str">
        <f>IF(F13="フラグ","boolean",IF(F13="文字列","text",IF(F13="整数","integer",IF(F13="実数","numeric",""))))</f>
        <v>text</v>
      </c>
      <c r="H13" s="9"/>
      <c r="I13" s="10" t="s">
        <v>127</v>
      </c>
      <c r="J13" s="11"/>
      <c r="M13" s="4"/>
      <c r="N13" s="78"/>
      <c r="O13" s="78"/>
      <c r="P13" s="78" t="str">
        <f>IF(B13&lt;&gt;1,","&amp;D13,D13)</f>
        <v>tekiyou_byoumei_link_code</v>
      </c>
      <c r="Q13" s="78" t="str">
        <f t="shared" ref="Q13:Q16" si="0">UPPER(G13)</f>
        <v>TEXT</v>
      </c>
      <c r="R13" s="78" t="str">
        <f t="shared" ref="R13:R16" si="1">IF(H13&lt;&gt;"","default "&amp;IF(G13="text","'"&amp;H13&amp;"'",H13),"")</f>
        <v/>
      </c>
      <c r="S13" s="78" t="str">
        <f>IF(I13="○","NOT NULL","")</f>
        <v>NOT NULL</v>
      </c>
      <c r="T13" s="78" t="str">
        <f>"-- "&amp;C13</f>
        <v>-- 適用病名組み合わせコード</v>
      </c>
      <c r="U13" s="4"/>
      <c r="AA13" s="4"/>
      <c r="AB13" s="4"/>
      <c r="AC13" s="4"/>
      <c r="AD13" s="4"/>
      <c r="AE13" s="4"/>
      <c r="AF13" s="4"/>
      <c r="AG13" s="4"/>
      <c r="AH13" s="4"/>
      <c r="AI13" s="4"/>
      <c r="AJ13" s="78" t="str">
        <f>IF(E13="○",IF(COUNTA(E$13:E13)=1,"",",")&amp;D13,"")</f>
        <v>tekiyou_byoumei_link_code</v>
      </c>
      <c r="AK13" s="4"/>
      <c r="AL13" s="4"/>
      <c r="AM13" s="4"/>
      <c r="AN13" s="4"/>
      <c r="AO13" s="4"/>
      <c r="AP13" s="4"/>
      <c r="AQ13" s="4"/>
      <c r="AR13" s="4"/>
      <c r="AS13" s="78" t="str">
        <f>"COMMENT ON COLUMN "&amp;エンティティ一覧!$O$2&amp;"."&amp;D$8&amp;"."&amp;D13&amp;" IS '"&amp;C13&amp;"';"</f>
        <v>COMMENT ON COLUMN milscm_2023_010.azn_202310_backup_mt_tekiyou_recept_combi_link_oyako.tekiyou_byoumei_link_code IS '適用病名組み合わせコード';</v>
      </c>
    </row>
    <row r="14" spans="1:45" s="25" customFormat="1">
      <c r="A14" s="4"/>
      <c r="B14" s="21">
        <f t="shared" ref="B14:B15" si="2">ROW()-12</f>
        <v>2</v>
      </c>
      <c r="C14" s="6" t="s">
        <v>2073</v>
      </c>
      <c r="D14" s="6" t="s">
        <v>2074</v>
      </c>
      <c r="E14" s="8" t="s">
        <v>127</v>
      </c>
      <c r="F14" s="7" t="s">
        <v>1782</v>
      </c>
      <c r="G14" s="7" t="str">
        <f t="shared" ref="G14:G16" si="3">IF(F14="フラグ","boolean",IF(F14="文字列","text",IF(F14="整数","integer",IF(F14="実数","numeric",""))))</f>
        <v>text</v>
      </c>
      <c r="H14" s="26"/>
      <c r="I14" s="10" t="s">
        <v>127</v>
      </c>
      <c r="J14" s="11"/>
      <c r="M14" s="4"/>
      <c r="N14" s="78"/>
      <c r="O14" s="78"/>
      <c r="P14" s="78" t="str">
        <f t="shared" ref="P14:P16" si="4">IF(B14&lt;&gt;1,","&amp;D14,D14)</f>
        <v>,yj_code</v>
      </c>
      <c r="Q14" s="78" t="str">
        <f t="shared" si="0"/>
        <v>TEXT</v>
      </c>
      <c r="R14" s="78" t="str">
        <f t="shared" si="1"/>
        <v/>
      </c>
      <c r="S14" s="78" t="str">
        <f t="shared" ref="S14:S16" si="5">IF(I14="○","NOT NULL","")</f>
        <v>NOT NULL</v>
      </c>
      <c r="T14" s="78" t="str">
        <f t="shared" ref="T14:T16" si="6">"-- "&amp;C14</f>
        <v>-- ＹＪコード</v>
      </c>
      <c r="U14" s="4"/>
      <c r="AA14" s="4"/>
      <c r="AB14" s="4"/>
      <c r="AC14" s="4"/>
      <c r="AD14" s="4"/>
      <c r="AE14" s="4"/>
      <c r="AF14" s="4"/>
      <c r="AG14" s="4"/>
      <c r="AH14" s="4"/>
      <c r="AI14" s="4"/>
      <c r="AJ14" s="78" t="str">
        <f>IF(E14="○",IF(COUNTA(E$13:E14)=1,"",",")&amp;D14,"")</f>
        <v>,yj_code</v>
      </c>
      <c r="AK14" s="4"/>
      <c r="AL14" s="4"/>
      <c r="AM14" s="4"/>
      <c r="AN14" s="4"/>
      <c r="AO14" s="4"/>
      <c r="AP14" s="4"/>
      <c r="AQ14" s="4"/>
      <c r="AR14" s="4"/>
      <c r="AS14" s="78" t="str">
        <f>"COMMENT ON COLUMN "&amp;エンティティ一覧!$O$2&amp;"."&amp;D$8&amp;"."&amp;D14&amp;" IS '"&amp;C14&amp;"';"</f>
        <v>COMMENT ON COLUMN milscm_2023_010.azn_202310_backup_mt_tekiyou_recept_combi_link_oyako.yj_code IS 'ＹＪコード';</v>
      </c>
    </row>
    <row r="15" spans="1:45" s="25" customFormat="1" ht="56.25">
      <c r="A15" s="4"/>
      <c r="B15" s="21">
        <f t="shared" si="2"/>
        <v>3</v>
      </c>
      <c r="C15" s="6" t="s">
        <v>2091</v>
      </c>
      <c r="D15" s="6" t="s">
        <v>2092</v>
      </c>
      <c r="E15" s="8" t="s">
        <v>127</v>
      </c>
      <c r="F15" s="7" t="s">
        <v>1782</v>
      </c>
      <c r="G15" s="7" t="str">
        <f t="shared" si="3"/>
        <v>text</v>
      </c>
      <c r="H15" s="26"/>
      <c r="I15" s="10" t="s">
        <v>127</v>
      </c>
      <c r="J15" s="11" t="s">
        <v>2095</v>
      </c>
      <c r="M15" s="4"/>
      <c r="N15" s="78"/>
      <c r="O15" s="78"/>
      <c r="P15" s="78" t="str">
        <f t="shared" si="4"/>
        <v>,koshin_kubun</v>
      </c>
      <c r="Q15" s="78" t="str">
        <f t="shared" si="0"/>
        <v>TEXT</v>
      </c>
      <c r="R15" s="78" t="str">
        <f t="shared" si="1"/>
        <v/>
      </c>
      <c r="S15" s="78" t="str">
        <f t="shared" si="5"/>
        <v>NOT NULL</v>
      </c>
      <c r="T15" s="78" t="str">
        <f t="shared" si="6"/>
        <v>-- 更新区分</v>
      </c>
      <c r="U15" s="4"/>
      <c r="AA15" s="4"/>
      <c r="AB15" s="4"/>
      <c r="AC15" s="4"/>
      <c r="AD15" s="4"/>
      <c r="AE15" s="4"/>
      <c r="AF15" s="4"/>
      <c r="AG15" s="4"/>
      <c r="AH15" s="4"/>
      <c r="AI15" s="4"/>
      <c r="AJ15" s="78" t="str">
        <f>IF(E15="○",IF(COUNTA(E$13:E15)=1,"",",")&amp;D15,"")</f>
        <v>,koshin_kubun</v>
      </c>
      <c r="AK15" s="4"/>
      <c r="AL15" s="4"/>
      <c r="AM15" s="4"/>
      <c r="AN15" s="4"/>
      <c r="AO15" s="4"/>
      <c r="AP15" s="4"/>
      <c r="AQ15" s="4"/>
      <c r="AR15" s="4"/>
      <c r="AS15" s="78" t="str">
        <f>"COMMENT ON COLUMN "&amp;エンティティ一覧!$O$2&amp;"."&amp;D$8&amp;"."&amp;D15&amp;" IS '"&amp;C15&amp;"';"</f>
        <v>COMMENT ON COLUMN milscm_2023_010.azn_202310_backup_mt_tekiyou_recept_combi_link_oyako.koshin_kubun IS '更新区分';</v>
      </c>
    </row>
    <row r="16" spans="1:45" s="25" customFormat="1" ht="19.5" thickBot="1">
      <c r="A16" s="4"/>
      <c r="B16" s="27">
        <f>ROW()-12</f>
        <v>4</v>
      </c>
      <c r="C16" s="57" t="s">
        <v>2093</v>
      </c>
      <c r="D16" s="57" t="s">
        <v>1926</v>
      </c>
      <c r="E16" s="56" t="s">
        <v>127</v>
      </c>
      <c r="F16" s="56" t="s">
        <v>1782</v>
      </c>
      <c r="G16" s="56" t="str">
        <f t="shared" si="3"/>
        <v>text</v>
      </c>
      <c r="H16" s="59"/>
      <c r="I16" s="60" t="s">
        <v>127</v>
      </c>
      <c r="J16" s="64" t="s">
        <v>2117</v>
      </c>
      <c r="N16" s="78"/>
      <c r="O16" s="78"/>
      <c r="P16" s="78" t="str">
        <f t="shared" si="4"/>
        <v>,update_ymd</v>
      </c>
      <c r="Q16" s="78" t="str">
        <f t="shared" si="0"/>
        <v>TEXT</v>
      </c>
      <c r="R16" s="78" t="str">
        <f t="shared" si="1"/>
        <v/>
      </c>
      <c r="S16" s="78" t="str">
        <f t="shared" si="5"/>
        <v>NOT NULL</v>
      </c>
      <c r="T16" s="78" t="str">
        <f t="shared" si="6"/>
        <v>-- データ登録日</v>
      </c>
      <c r="U16" s="4"/>
      <c r="AA16" s="4"/>
      <c r="AB16" s="4"/>
      <c r="AC16" s="4"/>
      <c r="AD16" s="4"/>
      <c r="AE16" s="4"/>
      <c r="AF16" s="4"/>
      <c r="AG16" s="4"/>
      <c r="AH16" s="4"/>
      <c r="AI16" s="4"/>
      <c r="AJ16" s="78" t="str">
        <f>IF(E16="○",IF(COUNTA(E$13:E16)=1,"",",")&amp;D16,"")</f>
        <v>,update_ymd</v>
      </c>
      <c r="AK16" s="4"/>
      <c r="AL16" s="4"/>
      <c r="AM16" s="4"/>
      <c r="AN16" s="4"/>
      <c r="AO16" s="4"/>
      <c r="AP16" s="4"/>
      <c r="AQ16" s="4"/>
      <c r="AR16" s="4"/>
      <c r="AS16" s="78" t="str">
        <f>"COMMENT ON COLUMN "&amp;エンティティ一覧!$O$2&amp;"."&amp;D$8&amp;"."&amp;D16&amp;" IS '"&amp;C16&amp;"';"</f>
        <v>COMMENT ON COLUMN milscm_2023_010.azn_202310_backup_mt_tekiyou_recept_combi_link_oyako.update_ymd IS 'データ登録日';</v>
      </c>
    </row>
    <row r="17" spans="1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E00-000000000000}"/>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ENT_01_A3-13</v>
      </c>
      <c r="E6" s="239"/>
      <c r="F6" s="239"/>
      <c r="G6" s="239"/>
      <c r="H6" s="239"/>
      <c r="I6" s="239"/>
      <c r="J6" s="240"/>
    </row>
    <row r="7" spans="1:45">
      <c r="B7" s="228" t="s">
        <v>115</v>
      </c>
      <c r="C7" s="229"/>
      <c r="D7" s="230" t="s">
        <v>2145</v>
      </c>
      <c r="E7" s="231"/>
      <c r="F7" s="231"/>
      <c r="G7" s="231"/>
      <c r="H7" s="231"/>
      <c r="I7" s="231"/>
      <c r="J7" s="232"/>
    </row>
    <row r="8" spans="1:45">
      <c r="B8" s="228" t="s">
        <v>116</v>
      </c>
      <c r="C8" s="229"/>
      <c r="D8" s="230" t="str">
        <f>エンティティ一覧!AE2&amp;"_"&amp;D5&amp;"_mt_tekiyou_byoumei"</f>
        <v>azn_202310_backup_mt_tekiyou_byoumei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milscm_2023_010.azn_202310_backup_mt_tekiyou_byoumei;</v>
      </c>
      <c r="O10" s="78"/>
      <c r="P10" s="78"/>
      <c r="Q10" s="78"/>
      <c r="R10" s="78"/>
      <c r="S10" s="78"/>
      <c r="T10" s="78"/>
      <c r="AJ10" s="78" t="str">
        <f>"ALTER TABLE ONLY "&amp;エンティティ一覧!$O$2&amp;"."&amp;D$8</f>
        <v>ALTER TABLE ONLY milscm_2023_010.azn_202310_backup_mt_tekiyou_byoumei</v>
      </c>
      <c r="AS10" s="78" t="str">
        <f>"ALTER TABLE "&amp;エンティティ一覧!$O$2&amp;"."&amp;D$8&amp;" OWNER TO pgmisgrp1;"</f>
        <v>ALTER TABLE milscm_2023_010.azn_202310_backup_mt_tekiyou_byoumei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milscm_2023_010.azn_202310_backup_mt_tekiyou_byoumei</v>
      </c>
      <c r="O11" s="78"/>
      <c r="P11" s="78"/>
      <c r="Q11" s="78"/>
      <c r="R11" s="78"/>
      <c r="S11" s="78"/>
      <c r="T11" s="78"/>
      <c r="AJ11" s="78" t="str">
        <f>"ADD CONSTRAINT "&amp;D$8&amp;"_pkey PRIMARY KEY"</f>
        <v>ADD CONSTRAINT azn_202310_backup_mt_tekiyou_byoumei_pkey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milscm_2023_010.azn_202310_backup_mt_tekiyou_byoumei IS 'バックアップ_適用病名マスタ取込用';</v>
      </c>
    </row>
    <row r="13" spans="1:45" s="25" customFormat="1">
      <c r="A13" s="4"/>
      <c r="B13" s="21">
        <f>ROW()-12</f>
        <v>1</v>
      </c>
      <c r="C13" s="6" t="s">
        <v>2146</v>
      </c>
      <c r="D13" s="6" t="s">
        <v>2147</v>
      </c>
      <c r="E13" s="8"/>
      <c r="F13" s="8" t="s">
        <v>1782</v>
      </c>
      <c r="G13" s="7" t="str">
        <f>IF(F13="フラグ","boolean",IF(F13="文字列","text",IF(F13="整数","integer",IF(F13="実数","numeric",""))))</f>
        <v>text</v>
      </c>
      <c r="H13" s="9"/>
      <c r="I13" s="10"/>
      <c r="J13" s="11"/>
      <c r="M13" s="4"/>
      <c r="N13" s="78"/>
      <c r="O13" s="78"/>
      <c r="P13" s="78" t="str">
        <f>IF(B13&lt;&gt;1,","&amp;D13,D13)</f>
        <v>yougo_code1</v>
      </c>
      <c r="Q13" s="78" t="str">
        <f t="shared" ref="Q13:Q19" si="0">UPPER(G13)</f>
        <v>TEXT</v>
      </c>
      <c r="R13" s="78" t="str">
        <f t="shared" ref="R13:R19" si="1">IF(H13&lt;&gt;"","default "&amp;IF(G13="text","'"&amp;H13&amp;"'",H13),"")</f>
        <v/>
      </c>
      <c r="S13" s="78" t="str">
        <f>IF(I13="○","NOT NULL","")</f>
        <v/>
      </c>
      <c r="T13" s="78" t="str">
        <f>"-- "&amp;C13</f>
        <v>-- 用語コード１</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milscm_2023_010.azn_202310_backup_mt_tekiyou_byoumei.yougo_code1 IS '用語コード１';</v>
      </c>
    </row>
    <row r="14" spans="1:45" s="25" customFormat="1">
      <c r="A14" s="4"/>
      <c r="B14" s="21">
        <f t="shared" ref="B14:B18" si="2">ROW()-12</f>
        <v>2</v>
      </c>
      <c r="C14" s="6" t="s">
        <v>2148</v>
      </c>
      <c r="D14" s="6" t="s">
        <v>2149</v>
      </c>
      <c r="E14" s="8"/>
      <c r="F14" s="7" t="s">
        <v>1782</v>
      </c>
      <c r="G14" s="7" t="str">
        <f t="shared" ref="G14:G19" si="3">IF(F14="フラグ","boolean",IF(F14="文字列","text",IF(F14="整数","integer",IF(F14="実数","numeric",""))))</f>
        <v>text</v>
      </c>
      <c r="H14" s="26"/>
      <c r="I14" s="10"/>
      <c r="J14" s="11"/>
      <c r="M14" s="4"/>
      <c r="N14" s="78"/>
      <c r="O14" s="78"/>
      <c r="P14" s="78" t="str">
        <f t="shared" ref="P14:P19" si="4">IF(B14&lt;&gt;1,","&amp;D14,D14)</f>
        <v>,yougo_code2</v>
      </c>
      <c r="Q14" s="78" t="str">
        <f t="shared" si="0"/>
        <v>TEXT</v>
      </c>
      <c r="R14" s="78" t="str">
        <f t="shared" si="1"/>
        <v/>
      </c>
      <c r="S14" s="78" t="str">
        <f t="shared" ref="S14:S19" si="5">IF(I14="○","NOT NULL","")</f>
        <v/>
      </c>
      <c r="T14" s="78" t="str">
        <f t="shared" ref="T14:T19" si="6">"-- "&amp;C14</f>
        <v>-- 用語コード２</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milscm_2023_010.azn_202310_backup_mt_tekiyou_byoumei.yougo_code2 IS '用語コード２';</v>
      </c>
    </row>
    <row r="15" spans="1:45" s="25" customFormat="1">
      <c r="A15" s="4"/>
      <c r="B15" s="21">
        <f t="shared" si="2"/>
        <v>3</v>
      </c>
      <c r="C15" s="6" t="s">
        <v>2150</v>
      </c>
      <c r="D15" s="6" t="s">
        <v>2151</v>
      </c>
      <c r="E15" s="8"/>
      <c r="F15" s="7" t="s">
        <v>1782</v>
      </c>
      <c r="G15" s="7" t="str">
        <f t="shared" ref="G15:G17" si="7">IF(F15="フラグ","boolean",IF(F15="文字列","text",IF(F15="整数","integer",IF(F15="実数","numeric",""))))</f>
        <v>text</v>
      </c>
      <c r="H15" s="26"/>
      <c r="I15" s="10"/>
      <c r="J15" s="11"/>
      <c r="M15" s="4"/>
      <c r="N15" s="78"/>
      <c r="O15" s="78"/>
      <c r="P15" s="78" t="str">
        <f t="shared" ref="P15:P17" si="8">IF(B15&lt;&gt;1,","&amp;D15,D15)</f>
        <v>,yougo_code3</v>
      </c>
      <c r="Q15" s="78" t="str">
        <f t="shared" ref="Q15:Q17" si="9">UPPER(G15)</f>
        <v>TEXT</v>
      </c>
      <c r="R15" s="78" t="str">
        <f t="shared" ref="R15:R17" si="10">IF(H15&lt;&gt;"","default "&amp;IF(G15="text","'"&amp;H15&amp;"'",H15),"")</f>
        <v/>
      </c>
      <c r="S15" s="78" t="str">
        <f t="shared" ref="S15:S17" si="11">IF(I15="○","NOT NULL","")</f>
        <v/>
      </c>
      <c r="T15" s="78" t="str">
        <f t="shared" ref="T15:T17" si="12">"-- "&amp;C15</f>
        <v>-- 用語コード３</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milscm_2023_010.azn_202310_backup_mt_tekiyou_byoumei.yougo_code3 IS '用語コード３';</v>
      </c>
    </row>
    <row r="16" spans="1:45" s="25" customFormat="1">
      <c r="A16" s="4"/>
      <c r="B16" s="21">
        <f t="shared" si="2"/>
        <v>4</v>
      </c>
      <c r="C16" s="6" t="s">
        <v>2128</v>
      </c>
      <c r="D16" s="6" t="s">
        <v>2129</v>
      </c>
      <c r="E16" s="8" t="s">
        <v>127</v>
      </c>
      <c r="F16" s="7" t="s">
        <v>1782</v>
      </c>
      <c r="G16" s="7" t="str">
        <f t="shared" si="7"/>
        <v>text</v>
      </c>
      <c r="H16" s="26"/>
      <c r="I16" s="10" t="s">
        <v>127</v>
      </c>
      <c r="J16" s="11"/>
      <c r="M16" s="4"/>
      <c r="N16" s="78"/>
      <c r="O16" s="78"/>
      <c r="P16" s="78" t="str">
        <f t="shared" si="8"/>
        <v>,tekiyou_byoumei_code</v>
      </c>
      <c r="Q16" s="78" t="str">
        <f t="shared" si="9"/>
        <v>TEXT</v>
      </c>
      <c r="R16" s="78" t="str">
        <f t="shared" si="10"/>
        <v/>
      </c>
      <c r="S16" s="78" t="str">
        <f t="shared" si="11"/>
        <v>NOT NULL</v>
      </c>
      <c r="T16" s="78" t="str">
        <f t="shared" si="12"/>
        <v>-- 適用病名コード</v>
      </c>
      <c r="U16" s="4"/>
      <c r="AA16" s="4"/>
      <c r="AB16" s="4"/>
      <c r="AC16" s="4"/>
      <c r="AD16" s="4"/>
      <c r="AE16" s="4"/>
      <c r="AF16" s="4"/>
      <c r="AG16" s="4"/>
      <c r="AH16" s="4"/>
      <c r="AI16" s="4"/>
      <c r="AJ16" s="78" t="str">
        <f>IF(E16="○",IF(COUNTA(E$13:E16)=1,"",",")&amp;D16,"")</f>
        <v>tekiyou_byoumei_code</v>
      </c>
      <c r="AK16" s="4"/>
      <c r="AL16" s="4"/>
      <c r="AM16" s="4"/>
      <c r="AN16" s="4"/>
      <c r="AO16" s="4"/>
      <c r="AP16" s="4"/>
      <c r="AQ16" s="4"/>
      <c r="AR16" s="4"/>
      <c r="AS16" s="78" t="str">
        <f>"COMMENT ON COLUMN "&amp;エンティティ一覧!$O$2&amp;"."&amp;D$8&amp;"."&amp;D16&amp;" IS '"&amp;C16&amp;"';"</f>
        <v>COMMENT ON COLUMN milscm_2023_010.azn_202310_backup_mt_tekiyou_byoumei.tekiyou_byoumei_code IS '適用病名コード';</v>
      </c>
    </row>
    <row r="17" spans="1:52" s="25" customFormat="1">
      <c r="A17" s="4"/>
      <c r="B17" s="21">
        <f t="shared" si="2"/>
        <v>5</v>
      </c>
      <c r="C17" s="6" t="s">
        <v>2152</v>
      </c>
      <c r="D17" s="6" t="s">
        <v>2153</v>
      </c>
      <c r="E17" s="8"/>
      <c r="F17" s="7" t="s">
        <v>1782</v>
      </c>
      <c r="G17" s="7" t="str">
        <f t="shared" si="7"/>
        <v>text</v>
      </c>
      <c r="H17" s="26"/>
      <c r="I17" s="10" t="s">
        <v>127</v>
      </c>
      <c r="J17" s="11"/>
      <c r="M17" s="4"/>
      <c r="N17" s="78"/>
      <c r="O17" s="78"/>
      <c r="P17" s="78" t="str">
        <f t="shared" si="8"/>
        <v>,tekiyou_byoumei_name</v>
      </c>
      <c r="Q17" s="78" t="str">
        <f t="shared" si="9"/>
        <v>TEXT</v>
      </c>
      <c r="R17" s="78" t="str">
        <f t="shared" si="10"/>
        <v/>
      </c>
      <c r="S17" s="78" t="str">
        <f t="shared" si="11"/>
        <v>NOT NULL</v>
      </c>
      <c r="T17" s="78" t="str">
        <f t="shared" si="12"/>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milscm_2023_010.azn_202310_backup_mt_tekiyou_byoumei.tekiyou_byoumei_name IS '適用病名';</v>
      </c>
    </row>
    <row r="18" spans="1:52" s="25" customFormat="1" ht="56.25">
      <c r="A18" s="4"/>
      <c r="B18" s="21">
        <f t="shared" si="2"/>
        <v>6</v>
      </c>
      <c r="C18" s="6" t="s">
        <v>2091</v>
      </c>
      <c r="D18" s="6" t="s">
        <v>2092</v>
      </c>
      <c r="E18" s="8" t="s">
        <v>127</v>
      </c>
      <c r="F18" s="7" t="s">
        <v>1782</v>
      </c>
      <c r="G18" s="7" t="str">
        <f t="shared" si="3"/>
        <v>text</v>
      </c>
      <c r="H18" s="26"/>
      <c r="I18" s="10" t="s">
        <v>127</v>
      </c>
      <c r="J18" s="11" t="s">
        <v>2095</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milscm_2023_010.azn_202310_backup_mt_tekiyou_byoumei.koshin_kubun IS '更新区分';</v>
      </c>
    </row>
    <row r="19" spans="1:52" s="25" customFormat="1" ht="19.5" thickBot="1">
      <c r="A19" s="4"/>
      <c r="B19" s="27">
        <f>ROW()-12</f>
        <v>7</v>
      </c>
      <c r="C19" s="57" t="s">
        <v>2021</v>
      </c>
      <c r="D19" s="57" t="s">
        <v>1926</v>
      </c>
      <c r="E19" s="56" t="s">
        <v>127</v>
      </c>
      <c r="F19" s="56" t="s">
        <v>1782</v>
      </c>
      <c r="G19" s="56" t="str">
        <f t="shared" si="3"/>
        <v>text</v>
      </c>
      <c r="H19" s="59"/>
      <c r="I19" s="60" t="s">
        <v>127</v>
      </c>
      <c r="J19" s="64" t="s">
        <v>2117</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milscm_2023_010.azn_202310_backup_mt_tekiyou_byoumei.update_ymd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1F00-000000000000}"/>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ENT_01_A3-14</v>
      </c>
      <c r="E6" s="239"/>
      <c r="F6" s="239"/>
      <c r="G6" s="239"/>
      <c r="H6" s="239"/>
      <c r="I6" s="239"/>
      <c r="J6" s="240"/>
    </row>
    <row r="7" spans="1:45">
      <c r="B7" s="228" t="s">
        <v>115</v>
      </c>
      <c r="C7" s="229"/>
      <c r="D7" s="230" t="s">
        <v>2154</v>
      </c>
      <c r="E7" s="231"/>
      <c r="F7" s="231"/>
      <c r="G7" s="231"/>
      <c r="H7" s="231"/>
      <c r="I7" s="231"/>
      <c r="J7" s="232"/>
    </row>
    <row r="8" spans="1:45">
      <c r="B8" s="228" t="s">
        <v>116</v>
      </c>
      <c r="C8" s="229"/>
      <c r="D8" s="230" t="str">
        <f>エンティティ一覧!AE2&amp;"_"&amp;D5&amp;"_mt_yjcode_receptdensancode_link"</f>
        <v>azn_202310_backup_mt_yjcode_receptdensancode_link</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milscm_2023_010.azn_202310_backup_mt_yjcode_receptdensancode_link;</v>
      </c>
      <c r="O10" s="78"/>
      <c r="P10" s="78"/>
      <c r="Q10" s="78"/>
      <c r="R10" s="78"/>
      <c r="S10" s="78"/>
      <c r="T10" s="78"/>
      <c r="AJ10" s="78" t="str">
        <f>"ALTER TABLE ONLY "&amp;エンティティ一覧!$O$2&amp;"."&amp;D$8</f>
        <v>ALTER TABLE ONLY milscm_2023_010.azn_202310_backup_mt_yjcode_receptdensancode_link</v>
      </c>
      <c r="AS10" s="78" t="str">
        <f>"ALTER TABLE "&amp;エンティティ一覧!$O$2&amp;"."&amp;D$8&amp;" OWNER TO pgmisgrp1;"</f>
        <v>ALTER TABLE milscm_2023_010.azn_202310_backup_mt_yjcode_receptdensancode_link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milscm_2023_010.azn_202310_backup_mt_yjcode_receptdensancode_link</v>
      </c>
      <c r="O11" s="78"/>
      <c r="P11" s="78"/>
      <c r="Q11" s="78"/>
      <c r="R11" s="78"/>
      <c r="S11" s="78"/>
      <c r="T11" s="78"/>
      <c r="AJ11" s="78" t="str">
        <f>"ADD CONSTRAINT "&amp;D$8&amp;"_pkey PRIMARY KEY"</f>
        <v>ADD CONSTRAINT azn_202310_backup_mt_yjcode_receptdensancode_link_pkey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milscm_2023_010.azn_202310_backup_mt_yjcode_receptdensancode_link IS 'バックアップ_ＹＪコード医薬品コードリンクマスタ取込用';</v>
      </c>
    </row>
    <row r="13" spans="1:45" s="25" customFormat="1">
      <c r="A13" s="4"/>
      <c r="B13" s="21">
        <f>ROW()-12</f>
        <v>1</v>
      </c>
      <c r="C13" s="6" t="s">
        <v>2073</v>
      </c>
      <c r="D13" s="6" t="s">
        <v>2074</v>
      </c>
      <c r="E13" s="8" t="s">
        <v>127</v>
      </c>
      <c r="F13" s="8" t="s">
        <v>1782</v>
      </c>
      <c r="G13" s="7" t="str">
        <f>IF(F13="フラグ","boolean",IF(F13="文字列","text",IF(F13="整数","integer",IF(F13="実数","numeric",""))))</f>
        <v>text</v>
      </c>
      <c r="H13" s="9"/>
      <c r="I13" s="10"/>
      <c r="J13" s="11" t="s">
        <v>2162</v>
      </c>
      <c r="M13" s="4"/>
      <c r="N13" s="78"/>
      <c r="O13" s="78"/>
      <c r="P13" s="78" t="str">
        <f>IF(B13&lt;&gt;1,","&amp;D13,D13)</f>
        <v>yj_code</v>
      </c>
      <c r="Q13" s="78" t="str">
        <f t="shared" ref="Q13:Q19" si="0">UPPER(G13)</f>
        <v>TEXT</v>
      </c>
      <c r="R13" s="78" t="str">
        <f t="shared" ref="R13:R19" si="1">IF(H13&lt;&gt;"","default "&amp;IF(G13="text","'"&amp;H13&amp;"'",H13),"")</f>
        <v/>
      </c>
      <c r="S13" s="78" t="str">
        <f>IF(I13="○","NOT NULL","")</f>
        <v/>
      </c>
      <c r="T13" s="78" t="str">
        <f>"-- "&amp;C13</f>
        <v>-- ＹＪコード</v>
      </c>
      <c r="U13" s="4"/>
      <c r="AA13" s="4"/>
      <c r="AB13" s="4"/>
      <c r="AC13" s="4"/>
      <c r="AD13" s="4"/>
      <c r="AE13" s="4"/>
      <c r="AF13" s="4"/>
      <c r="AG13" s="4"/>
      <c r="AH13" s="4"/>
      <c r="AI13" s="4"/>
      <c r="AJ13" s="78" t="str">
        <f>IF(E13="○",IF(COUNTA(E$13:E13)=1,"",",")&amp;D13,"")</f>
        <v>yj_code</v>
      </c>
      <c r="AK13" s="4"/>
      <c r="AL13" s="4"/>
      <c r="AM13" s="4"/>
      <c r="AN13" s="4"/>
      <c r="AO13" s="4"/>
      <c r="AP13" s="4"/>
      <c r="AQ13" s="4"/>
      <c r="AR13" s="4"/>
      <c r="AS13" s="78" t="str">
        <f>"COMMENT ON COLUMN "&amp;エンティティ一覧!$O$2&amp;"."&amp;D$8&amp;"."&amp;D13&amp;" IS '"&amp;C13&amp;"';"</f>
        <v>COMMENT ON COLUMN milscm_2023_010.azn_202310_backup_mt_yjcode_receptdensancode_link.yj_code IS 'ＹＪコード';</v>
      </c>
    </row>
    <row r="14" spans="1:45" s="25" customFormat="1">
      <c r="A14" s="4"/>
      <c r="B14" s="21">
        <f t="shared" ref="B14:B18" si="2">ROW()-12</f>
        <v>2</v>
      </c>
      <c r="C14" s="6" t="s">
        <v>2155</v>
      </c>
      <c r="D14" s="6" t="s">
        <v>1203</v>
      </c>
      <c r="E14" s="8"/>
      <c r="F14" s="7" t="s">
        <v>1782</v>
      </c>
      <c r="G14" s="7" t="str">
        <f t="shared" ref="G14:G19" si="3">IF(F14="フラグ","boolean",IF(F14="文字列","text",IF(F14="整数","integer",IF(F14="実数","numeric",""))))</f>
        <v>text</v>
      </c>
      <c r="H14" s="26"/>
      <c r="I14" s="10"/>
      <c r="J14" s="11" t="s">
        <v>2163</v>
      </c>
      <c r="M14" s="4"/>
      <c r="N14" s="78"/>
      <c r="O14" s="78"/>
      <c r="P14" s="78" t="str">
        <f t="shared" ref="P14:P19" si="4">IF(B14&lt;&gt;1,","&amp;D14,D14)</f>
        <v>,iyakuhin_code</v>
      </c>
      <c r="Q14" s="78" t="str">
        <f t="shared" si="0"/>
        <v>TEXT</v>
      </c>
      <c r="R14" s="78" t="str">
        <f t="shared" si="1"/>
        <v/>
      </c>
      <c r="S14" s="78" t="str">
        <f t="shared" ref="S14:S19" si="5">IF(I14="○","NOT NULL","")</f>
        <v/>
      </c>
      <c r="T14" s="78" t="str">
        <f t="shared" ref="T14:T19"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milscm_2023_010.azn_202310_backup_mt_yjcode_receptdensancode_link.iyakuhin_code IS '医薬品コード';</v>
      </c>
    </row>
    <row r="15" spans="1:45" s="25" customFormat="1">
      <c r="A15" s="4"/>
      <c r="B15" s="21">
        <f t="shared" si="2"/>
        <v>3</v>
      </c>
      <c r="C15" s="6" t="s">
        <v>2156</v>
      </c>
      <c r="D15" s="6" t="s">
        <v>2157</v>
      </c>
      <c r="E15" s="8"/>
      <c r="F15" s="7" t="s">
        <v>1782</v>
      </c>
      <c r="G15" s="7" t="str">
        <f t="shared" si="3"/>
        <v>text</v>
      </c>
      <c r="H15" s="26"/>
      <c r="I15" s="10"/>
      <c r="J15" s="11"/>
      <c r="M15" s="4"/>
      <c r="N15" s="78"/>
      <c r="O15" s="78"/>
      <c r="P15" s="78" t="str">
        <f t="shared" si="4"/>
        <v>,iyakuhin_ippan_name</v>
      </c>
      <c r="Q15" s="78" t="str">
        <f t="shared" si="0"/>
        <v>TEXT</v>
      </c>
      <c r="R15" s="78" t="str">
        <f t="shared" si="1"/>
        <v/>
      </c>
      <c r="S15" s="78" t="str">
        <f t="shared" si="5"/>
        <v/>
      </c>
      <c r="T15" s="78" t="str">
        <f t="shared" si="6"/>
        <v>-- 医薬品一般名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milscm_2023_010.azn_202310_backup_mt_yjcode_receptdensancode_link.iyakuhin_ippan_name IS '医薬品一般名';</v>
      </c>
    </row>
    <row r="16" spans="1:45" s="25" customFormat="1">
      <c r="A16" s="4"/>
      <c r="B16" s="21">
        <f t="shared" si="2"/>
        <v>4</v>
      </c>
      <c r="C16" s="6" t="s">
        <v>2158</v>
      </c>
      <c r="D16" s="6" t="s">
        <v>2159</v>
      </c>
      <c r="E16" s="8"/>
      <c r="F16" s="7" t="s">
        <v>1782</v>
      </c>
      <c r="G16" s="7" t="str">
        <f t="shared" si="3"/>
        <v>text</v>
      </c>
      <c r="H16" s="26"/>
      <c r="I16" s="10"/>
      <c r="J16" s="11"/>
      <c r="M16" s="4"/>
      <c r="N16" s="78"/>
      <c r="O16" s="78"/>
      <c r="P16" s="78" t="str">
        <f t="shared" si="4"/>
        <v>,iyakuhin_name</v>
      </c>
      <c r="Q16" s="78" t="str">
        <f t="shared" si="0"/>
        <v>TEXT</v>
      </c>
      <c r="R16" s="78" t="str">
        <f t="shared" si="1"/>
        <v/>
      </c>
      <c r="S16" s="78" t="str">
        <f t="shared" si="5"/>
        <v/>
      </c>
      <c r="T16" s="78" t="str">
        <f t="shared" si="6"/>
        <v>-- 医薬品名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milscm_2023_010.azn_202310_backup_mt_yjcode_receptdensancode_link.iyakuhin_name IS '医薬品名';</v>
      </c>
    </row>
    <row r="17" spans="1:52" s="25" customFormat="1">
      <c r="A17" s="4"/>
      <c r="B17" s="21">
        <f t="shared" si="2"/>
        <v>5</v>
      </c>
      <c r="C17" s="6" t="s">
        <v>2160</v>
      </c>
      <c r="D17" s="6" t="s">
        <v>2161</v>
      </c>
      <c r="E17" s="8"/>
      <c r="F17" s="7" t="s">
        <v>1782</v>
      </c>
      <c r="G17" s="7" t="str">
        <f t="shared" si="3"/>
        <v>text</v>
      </c>
      <c r="H17" s="26"/>
      <c r="I17" s="10"/>
      <c r="J17" s="11"/>
      <c r="M17" s="4"/>
      <c r="N17" s="78"/>
      <c r="O17" s="78"/>
      <c r="P17" s="78" t="str">
        <f t="shared" si="4"/>
        <v>,kikaku_naiyou</v>
      </c>
      <c r="Q17" s="78" t="str">
        <f t="shared" si="0"/>
        <v>TEXT</v>
      </c>
      <c r="R17" s="78" t="str">
        <f t="shared" si="1"/>
        <v/>
      </c>
      <c r="S17" s="78" t="str">
        <f t="shared" si="5"/>
        <v/>
      </c>
      <c r="T17" s="78" t="str">
        <f t="shared" si="6"/>
        <v>-- 規格内容</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milscm_2023_010.azn_202310_backup_mt_yjcode_receptdensancode_link.kikaku_naiyou IS '規格内容';</v>
      </c>
    </row>
    <row r="18" spans="1:52" s="25" customFormat="1" ht="56.25">
      <c r="A18" s="4"/>
      <c r="B18" s="21">
        <f t="shared" si="2"/>
        <v>6</v>
      </c>
      <c r="C18" s="6" t="s">
        <v>2091</v>
      </c>
      <c r="D18" s="6" t="s">
        <v>2092</v>
      </c>
      <c r="E18" s="8" t="s">
        <v>127</v>
      </c>
      <c r="F18" s="7" t="s">
        <v>1782</v>
      </c>
      <c r="G18" s="7" t="str">
        <f t="shared" si="3"/>
        <v>text</v>
      </c>
      <c r="H18" s="26"/>
      <c r="I18" s="10" t="s">
        <v>127</v>
      </c>
      <c r="J18" s="11" t="s">
        <v>2095</v>
      </c>
      <c r="M18" s="4"/>
      <c r="N18" s="78"/>
      <c r="O18" s="78"/>
      <c r="P18" s="78" t="str">
        <f t="shared" si="4"/>
        <v>,koshin_kubun</v>
      </c>
      <c r="Q18" s="78" t="str">
        <f t="shared" si="0"/>
        <v>TEXT</v>
      </c>
      <c r="R18" s="78" t="str">
        <f t="shared" si="1"/>
        <v/>
      </c>
      <c r="S18" s="78" t="str">
        <f t="shared" si="5"/>
        <v>NOT NULL</v>
      </c>
      <c r="T18" s="78" t="str">
        <f t="shared" si="6"/>
        <v>-- 更新区分</v>
      </c>
      <c r="U18" s="4"/>
      <c r="AA18" s="4"/>
      <c r="AB18" s="4"/>
      <c r="AC18" s="4"/>
      <c r="AD18" s="4"/>
      <c r="AE18" s="4"/>
      <c r="AF18" s="4"/>
      <c r="AG18" s="4"/>
      <c r="AH18" s="4"/>
      <c r="AI18" s="4"/>
      <c r="AJ18" s="78" t="str">
        <f>IF(E18="○",IF(COUNTA(E$13:E18)=1,"",",")&amp;D18,"")</f>
        <v>,koshin_kubun</v>
      </c>
      <c r="AK18" s="4"/>
      <c r="AL18" s="4"/>
      <c r="AM18" s="4"/>
      <c r="AN18" s="4"/>
      <c r="AO18" s="4"/>
      <c r="AP18" s="4"/>
      <c r="AQ18" s="4"/>
      <c r="AR18" s="4"/>
      <c r="AS18" s="78" t="str">
        <f>"COMMENT ON COLUMN "&amp;エンティティ一覧!$O$2&amp;"."&amp;D$8&amp;"."&amp;D18&amp;" IS '"&amp;C18&amp;"';"</f>
        <v>COMMENT ON COLUMN milscm_2023_010.azn_202310_backup_mt_yjcode_receptdensancode_link.koshin_kubun IS '更新区分';</v>
      </c>
    </row>
    <row r="19" spans="1:52" s="25" customFormat="1" ht="19.5" thickBot="1">
      <c r="A19" s="4"/>
      <c r="B19" s="27">
        <f>ROW()-12</f>
        <v>7</v>
      </c>
      <c r="C19" s="57" t="s">
        <v>2093</v>
      </c>
      <c r="D19" s="57" t="s">
        <v>1926</v>
      </c>
      <c r="E19" s="56" t="s">
        <v>127</v>
      </c>
      <c r="F19" s="56" t="s">
        <v>1782</v>
      </c>
      <c r="G19" s="56" t="str">
        <f t="shared" si="3"/>
        <v>text</v>
      </c>
      <c r="H19" s="59"/>
      <c r="I19" s="60" t="s">
        <v>127</v>
      </c>
      <c r="J19" s="64" t="s">
        <v>2117</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,update_ymd</v>
      </c>
      <c r="AK19" s="4"/>
      <c r="AL19" s="4"/>
      <c r="AM19" s="4"/>
      <c r="AN19" s="4"/>
      <c r="AO19" s="4"/>
      <c r="AP19" s="4"/>
      <c r="AQ19" s="4"/>
      <c r="AR19" s="4"/>
      <c r="AS19" s="78" t="str">
        <f>"COMMENT ON COLUMN "&amp;エンティティ一覧!$O$2&amp;"."&amp;D$8&amp;"."&amp;D19&amp;" IS '"&amp;C19&amp;"';"</f>
        <v>COMMENT ON COLUMN milscm_2023_010.azn_202310_backup_mt_yjcode_receptdensancode_link.update_ymd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000-000000000000}"/>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AZ18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ENT_01_A3-15</v>
      </c>
      <c r="E6" s="239"/>
      <c r="F6" s="239"/>
      <c r="G6" s="239"/>
      <c r="H6" s="239"/>
      <c r="I6" s="239"/>
      <c r="J6" s="240"/>
    </row>
    <row r="7" spans="1:45">
      <c r="B7" s="228" t="s">
        <v>115</v>
      </c>
      <c r="C7" s="229"/>
      <c r="D7" s="230" t="s">
        <v>2164</v>
      </c>
      <c r="E7" s="231"/>
      <c r="F7" s="231"/>
      <c r="G7" s="231"/>
      <c r="H7" s="231"/>
      <c r="I7" s="231"/>
      <c r="J7" s="232"/>
    </row>
    <row r="8" spans="1:45">
      <c r="B8" s="228" t="s">
        <v>116</v>
      </c>
      <c r="C8" s="229"/>
      <c r="D8" s="230" t="str">
        <f>エンティティ一覧!AE2&amp;"_"&amp;D5&amp;"_mt_shinryo_koi_fuka"</f>
        <v>azn_202310_backup_mt_shinryo_koi_fuka</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milscm_2023_010.azn_202310_backup_mt_shinryo_koi_fuka;</v>
      </c>
      <c r="O10" s="78"/>
      <c r="P10" s="78"/>
      <c r="Q10" s="78"/>
      <c r="R10" s="78"/>
      <c r="S10" s="78"/>
      <c r="T10" s="78"/>
      <c r="AJ10" s="78" t="str">
        <f>"ALTER TABLE ONLY "&amp;エンティティ一覧!$O$2&amp;"."&amp;D$8</f>
        <v>ALTER TABLE ONLY milscm_2023_010.azn_202310_backup_mt_shinryo_koi_fuka</v>
      </c>
      <c r="AS10" s="78" t="str">
        <f>"ALTER TABLE "&amp;エンティティ一覧!$O$2&amp;"."&amp;D$8&amp;" OWNER TO pgmisgrp1;"</f>
        <v>ALTER TABLE milscm_2023_010.azn_202310_backup_mt_shinryo_koi_fuka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milscm_2023_010.azn_202310_backup_mt_shinryo_koi_fuka</v>
      </c>
      <c r="O11" s="78"/>
      <c r="P11" s="78"/>
      <c r="Q11" s="78"/>
      <c r="R11" s="78"/>
      <c r="S11" s="78"/>
      <c r="T11" s="78"/>
      <c r="AJ11" s="78" t="str">
        <f>"ADD CONSTRAINT "&amp;D$8&amp;"_pkey PRIMARY KEY"</f>
        <v>ADD CONSTRAINT azn_202310_backup_mt_shinryo_koi_fuka_pkey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milscm_2023_010.azn_202310_backup_mt_shinryo_koi_fuka IS 'バックアップ_診療行為付加情報マスタ取込用';</v>
      </c>
    </row>
    <row r="13" spans="1:45" s="25" customFormat="1" ht="75">
      <c r="A13" s="4"/>
      <c r="B13" s="21">
        <f>ROW()-12</f>
        <v>1</v>
      </c>
      <c r="C13" s="6" t="s">
        <v>2165</v>
      </c>
      <c r="D13" s="6" t="s">
        <v>2092</v>
      </c>
      <c r="E13" s="8" t="s">
        <v>127</v>
      </c>
      <c r="F13" s="8" t="s">
        <v>1782</v>
      </c>
      <c r="G13" s="7" t="str">
        <f>IF(F13="フラグ","boolean",IF(F13="文字列","text",IF(F13="整数","integer",IF(F13="実数","numeric",""))))</f>
        <v>text</v>
      </c>
      <c r="H13" s="9"/>
      <c r="I13" s="10" t="s">
        <v>127</v>
      </c>
      <c r="J13" s="11" t="s">
        <v>2022</v>
      </c>
      <c r="M13" s="4"/>
      <c r="N13" s="78"/>
      <c r="O13" s="78"/>
      <c r="P13" s="78" t="str">
        <f>IF(B13&lt;&gt;1,","&amp;D13,D13)</f>
        <v>koshin_kubun</v>
      </c>
      <c r="Q13" s="78" t="str">
        <f t="shared" ref="Q13:Q163" si="0">UPPER(G13)</f>
        <v>TEXT</v>
      </c>
      <c r="R13" s="78" t="str">
        <f t="shared" ref="R13:R163" si="1">IF(H13&lt;&gt;"","default "&amp;IF(G13="text","'"&amp;H13&amp;"'",H13),"")</f>
        <v/>
      </c>
      <c r="S13" s="78" t="str">
        <f>IF(I13="○","NOT NULL","")</f>
        <v>NOT NULL</v>
      </c>
      <c r="T13" s="78" t="str">
        <f>"-- "&amp;C13</f>
        <v>-- 更新区分</v>
      </c>
      <c r="U13" s="4"/>
      <c r="AA13" s="4"/>
      <c r="AB13" s="4"/>
      <c r="AC13" s="4"/>
      <c r="AD13" s="4"/>
      <c r="AE13" s="4"/>
      <c r="AF13" s="4"/>
      <c r="AG13" s="4"/>
      <c r="AH13" s="4"/>
      <c r="AI13" s="4"/>
      <c r="AJ13" s="78" t="str">
        <f>IF(E13="○",IF(COUNTA(E$13:E13)=1,"",",")&amp;D13,"")</f>
        <v>koshin_kubun</v>
      </c>
      <c r="AK13" s="4"/>
      <c r="AL13" s="4"/>
      <c r="AM13" s="4"/>
      <c r="AN13" s="4"/>
      <c r="AO13" s="4"/>
      <c r="AP13" s="4"/>
      <c r="AQ13" s="4"/>
      <c r="AR13" s="4"/>
      <c r="AS13" s="78" t="str">
        <f>"COMMENT ON COLUMN "&amp;エンティティ一覧!$O$2&amp;"."&amp;D$8&amp;"."&amp;D13&amp;" IS '"&amp;C13&amp;"';"</f>
        <v>COMMENT ON COLUMN milscm_2023_010.azn_202310_backup_mt_shinryo_koi_fuka.koshin_kubun IS '更新区分';</v>
      </c>
    </row>
    <row r="14" spans="1:45" s="25" customFormat="1">
      <c r="A14" s="4"/>
      <c r="B14" s="21">
        <f t="shared" ref="B14:B162" si="2">ROW()-12</f>
        <v>2</v>
      </c>
      <c r="C14" s="6" t="s">
        <v>1989</v>
      </c>
      <c r="D14" s="6" t="s">
        <v>1990</v>
      </c>
      <c r="E14" s="8"/>
      <c r="F14" s="7" t="s">
        <v>1782</v>
      </c>
      <c r="G14" s="7" t="str">
        <f t="shared" ref="G14:G163" si="3">IF(F14="フラグ","boolean",IF(F14="文字列","text",IF(F14="整数","integer",IF(F14="実数","numeric",""))))</f>
        <v>text</v>
      </c>
      <c r="H14" s="26"/>
      <c r="I14" s="10" t="s">
        <v>127</v>
      </c>
      <c r="J14" s="11" t="s">
        <v>2439</v>
      </c>
      <c r="M14" s="4"/>
      <c r="N14" s="78"/>
      <c r="O14" s="78"/>
      <c r="P14" s="78" t="str">
        <f t="shared" ref="P14:P163" si="4">IF(B14&lt;&gt;1,","&amp;D14,D14)</f>
        <v>,master_type</v>
      </c>
      <c r="Q14" s="78" t="str">
        <f t="shared" si="0"/>
        <v>TEXT</v>
      </c>
      <c r="R14" s="78" t="str">
        <f t="shared" si="1"/>
        <v/>
      </c>
      <c r="S14" s="78" t="str">
        <f t="shared" ref="S14:S163" si="5">IF(I14="○","NOT NULL","")</f>
        <v>NOT NULL</v>
      </c>
      <c r="T14" s="78" t="str">
        <f t="shared" ref="T14:T163" si="6">"-- "&amp;C14</f>
        <v>-- マスター種別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milscm_2023_010.azn_202310_backup_mt_shinryo_koi_fuka.master_type IS 'マスター種別';</v>
      </c>
    </row>
    <row r="15" spans="1:45" s="25" customFormat="1">
      <c r="A15" s="4"/>
      <c r="B15" s="21">
        <f t="shared" si="2"/>
        <v>3</v>
      </c>
      <c r="C15" s="6" t="s">
        <v>1170</v>
      </c>
      <c r="D15" s="6" t="s">
        <v>1171</v>
      </c>
      <c r="E15" s="8" t="s">
        <v>127</v>
      </c>
      <c r="F15" s="7" t="s">
        <v>1782</v>
      </c>
      <c r="G15" s="7" t="str">
        <f t="shared" si="3"/>
        <v>text</v>
      </c>
      <c r="H15" s="26"/>
      <c r="I15" s="10" t="s">
        <v>127</v>
      </c>
      <c r="J15" s="11"/>
      <c r="M15" s="4"/>
      <c r="N15" s="78"/>
      <c r="O15" s="78"/>
      <c r="P15" s="78" t="str">
        <f t="shared" si="4"/>
        <v>,shinryo_koi_code</v>
      </c>
      <c r="Q15" s="78" t="str">
        <f t="shared" si="0"/>
        <v>TEXT</v>
      </c>
      <c r="R15" s="78" t="str">
        <f t="shared" si="1"/>
        <v/>
      </c>
      <c r="S15" s="78" t="str">
        <f t="shared" si="5"/>
        <v>NOT NULL</v>
      </c>
      <c r="T15" s="78" t="str">
        <f t="shared" si="6"/>
        <v>-- 診療行為コード</v>
      </c>
      <c r="U15" s="4"/>
      <c r="AA15" s="4"/>
      <c r="AB15" s="4"/>
      <c r="AC15" s="4"/>
      <c r="AD15" s="4"/>
      <c r="AE15" s="4"/>
      <c r="AF15" s="4"/>
      <c r="AG15" s="4"/>
      <c r="AH15" s="4"/>
      <c r="AI15" s="4"/>
      <c r="AJ15" s="78" t="str">
        <f>IF(E15="○",IF(COUNTA(E$13:E15)=1,"",",")&amp;D15,"")</f>
        <v>,shinryo_koi_code</v>
      </c>
      <c r="AK15" s="4"/>
      <c r="AL15" s="4"/>
      <c r="AM15" s="4"/>
      <c r="AN15" s="4"/>
      <c r="AO15" s="4"/>
      <c r="AP15" s="4"/>
      <c r="AQ15" s="4"/>
      <c r="AR15" s="4"/>
      <c r="AS15" s="78" t="str">
        <f>"COMMENT ON COLUMN "&amp;エンティティ一覧!$O$2&amp;"."&amp;D$8&amp;"."&amp;D15&amp;" IS '"&amp;C15&amp;"';"</f>
        <v>COMMENT ON COLUMN milscm_2023_010.azn_202310_backup_mt_shinryo_koi_fuka.shinryo_koi_code IS '診療行為コード';</v>
      </c>
    </row>
    <row r="16" spans="1:45" s="25" customFormat="1" ht="31.5">
      <c r="A16" s="4"/>
      <c r="B16" s="21">
        <f t="shared" si="2"/>
        <v>4</v>
      </c>
      <c r="C16" s="6" t="s">
        <v>2166</v>
      </c>
      <c r="D16" s="6" t="s">
        <v>2167</v>
      </c>
      <c r="E16" s="8"/>
      <c r="F16" s="7" t="s">
        <v>1892</v>
      </c>
      <c r="G16" s="7" t="str">
        <f t="shared" si="3"/>
        <v>integer</v>
      </c>
      <c r="H16" s="26"/>
      <c r="I16" s="10"/>
      <c r="J16" s="11"/>
      <c r="M16" s="4"/>
      <c r="N16" s="78"/>
      <c r="O16" s="78"/>
      <c r="P16" s="78" t="str">
        <f t="shared" si="4"/>
        <v>,shinryo_koi_kanji_name_ketasu</v>
      </c>
      <c r="Q16" s="78" t="str">
        <f t="shared" si="0"/>
        <v>INTEGER</v>
      </c>
      <c r="R16" s="78" t="str">
        <f t="shared" si="1"/>
        <v/>
      </c>
      <c r="S16" s="78" t="str">
        <f t="shared" si="5"/>
        <v/>
      </c>
      <c r="T16" s="78" t="str">
        <f t="shared" si="6"/>
        <v>-- 診療行為省略漢字有効桁数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milscm_2023_010.azn_202310_backup_mt_shinryo_koi_fuka.shinryo_koi_kanji_name_ketasu IS '診療行為省略漢字有効桁数';</v>
      </c>
    </row>
    <row r="17" spans="1:45" s="25" customFormat="1">
      <c r="A17" s="4"/>
      <c r="B17" s="21">
        <f t="shared" si="2"/>
        <v>5</v>
      </c>
      <c r="C17" s="6" t="s">
        <v>2168</v>
      </c>
      <c r="D17" s="6" t="s">
        <v>2169</v>
      </c>
      <c r="E17" s="8"/>
      <c r="F17" s="7" t="s">
        <v>1782</v>
      </c>
      <c r="G17" s="7" t="str">
        <f t="shared" si="3"/>
        <v>text</v>
      </c>
      <c r="H17" s="26"/>
      <c r="I17" s="10"/>
      <c r="J17" s="11"/>
      <c r="M17" s="4"/>
      <c r="N17" s="78"/>
      <c r="O17" s="78"/>
      <c r="P17" s="78" t="str">
        <f t="shared" si="4"/>
        <v>,shinryo_koi_kanji_name</v>
      </c>
      <c r="Q17" s="78" t="str">
        <f t="shared" si="0"/>
        <v>TEXT</v>
      </c>
      <c r="R17" s="78" t="str">
        <f t="shared" si="1"/>
        <v/>
      </c>
      <c r="S17" s="78" t="str">
        <f t="shared" si="5"/>
        <v/>
      </c>
      <c r="T17" s="78" t="str">
        <f t="shared" si="6"/>
        <v>-- 診療行為省略漢字名称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milscm_2023_010.azn_202310_backup_mt_shinryo_koi_fuka.shinryo_koi_kanji_name IS '診療行為省略漢字名称';</v>
      </c>
    </row>
    <row r="18" spans="1:45" s="25" customFormat="1" ht="31.5">
      <c r="A18" s="4"/>
      <c r="B18" s="21">
        <f t="shared" si="2"/>
        <v>6</v>
      </c>
      <c r="C18" s="6" t="s">
        <v>2170</v>
      </c>
      <c r="D18" s="6" t="s">
        <v>2171</v>
      </c>
      <c r="E18" s="8"/>
      <c r="F18" s="7" t="s">
        <v>1892</v>
      </c>
      <c r="G18" s="7" t="str">
        <f t="shared" ref="G18:G81" si="7">IF(F18="フラグ","boolean",IF(F18="文字列","text",IF(F18="整数","integer",IF(F18="実数","numeric",""))))</f>
        <v>integer</v>
      </c>
      <c r="H18" s="26"/>
      <c r="I18" s="10"/>
      <c r="J18" s="11"/>
      <c r="M18" s="4"/>
      <c r="N18" s="78"/>
      <c r="O18" s="78"/>
      <c r="P18" s="78" t="str">
        <f t="shared" ref="P18:P81" si="8">IF(B18&lt;&gt;1,","&amp;D18,D18)</f>
        <v>,shinryo_koi_kana_name_ketasu</v>
      </c>
      <c r="Q18" s="78" t="str">
        <f t="shared" ref="Q18:Q81" si="9">UPPER(G18)</f>
        <v>INTEGER</v>
      </c>
      <c r="R18" s="78" t="str">
        <f t="shared" ref="R18:R81" si="10">IF(H18&lt;&gt;"","default "&amp;IF(G18="text","'"&amp;H18&amp;"'",H18),"")</f>
        <v/>
      </c>
      <c r="S18" s="78" t="str">
        <f t="shared" ref="S18:S81" si="11">IF(I18="○","NOT NULL","")</f>
        <v/>
      </c>
      <c r="T18" s="78" t="str">
        <f t="shared" ref="T18:T81" si="12">"-- "&amp;C18</f>
        <v>-- 診療行為省略カナ有効桁数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milscm_2023_010.azn_202310_backup_mt_shinryo_koi_fuka.shinryo_koi_kana_name_ketasu IS '診療行為省略カナ有効桁数';</v>
      </c>
    </row>
    <row r="19" spans="1:45" s="25" customFormat="1">
      <c r="A19" s="4"/>
      <c r="B19" s="21">
        <f t="shared" si="2"/>
        <v>7</v>
      </c>
      <c r="C19" s="6" t="s">
        <v>2172</v>
      </c>
      <c r="D19" s="6" t="s">
        <v>2173</v>
      </c>
      <c r="E19" s="8"/>
      <c r="F19" s="7" t="s">
        <v>1782</v>
      </c>
      <c r="G19" s="7" t="str">
        <f t="shared" si="7"/>
        <v>text</v>
      </c>
      <c r="H19" s="26"/>
      <c r="I19" s="10"/>
      <c r="J19" s="11"/>
      <c r="M19" s="4"/>
      <c r="N19" s="78"/>
      <c r="O19" s="78"/>
      <c r="P19" s="78" t="str">
        <f t="shared" si="8"/>
        <v>,shinryo_koi_kana_name</v>
      </c>
      <c r="Q19" s="78" t="str">
        <f t="shared" si="9"/>
        <v>TEXT</v>
      </c>
      <c r="R19" s="78" t="str">
        <f t="shared" si="10"/>
        <v/>
      </c>
      <c r="S19" s="78" t="str">
        <f t="shared" si="11"/>
        <v/>
      </c>
      <c r="T19" s="78" t="str">
        <f t="shared" si="12"/>
        <v>-- 診療行為省略カナ名称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milscm_2023_010.azn_202310_backup_mt_shinryo_koi_fuka.shinryo_koi_kana_name IS '診療行為省略カナ名称';</v>
      </c>
    </row>
    <row r="20" spans="1:45" s="25" customFormat="1">
      <c r="A20" s="4"/>
      <c r="B20" s="21">
        <f t="shared" si="2"/>
        <v>8</v>
      </c>
      <c r="C20" s="6" t="s">
        <v>2174</v>
      </c>
      <c r="D20" s="6" t="s">
        <v>2175</v>
      </c>
      <c r="E20" s="8"/>
      <c r="F20" s="7" t="s">
        <v>1782</v>
      </c>
      <c r="G20" s="7" t="str">
        <f t="shared" si="7"/>
        <v>text</v>
      </c>
      <c r="H20" s="26"/>
      <c r="I20" s="10"/>
      <c r="J20" s="11"/>
      <c r="M20" s="4"/>
      <c r="N20" s="78"/>
      <c r="O20" s="78"/>
      <c r="P20" s="78" t="str">
        <f t="shared" si="8"/>
        <v>,data_standard_code</v>
      </c>
      <c r="Q20" s="78" t="str">
        <f t="shared" si="9"/>
        <v>TEXT</v>
      </c>
      <c r="R20" s="78" t="str">
        <f t="shared" si="10"/>
        <v/>
      </c>
      <c r="S20" s="78" t="str">
        <f t="shared" si="11"/>
        <v/>
      </c>
      <c r="T20" s="78" t="str">
        <f t="shared" si="12"/>
        <v>-- データ規格コード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milscm_2023_010.azn_202310_backup_mt_shinryo_koi_fuka.data_standard_code IS 'データ規格コード';</v>
      </c>
    </row>
    <row r="21" spans="1:45" s="25" customFormat="1">
      <c r="A21" s="4"/>
      <c r="B21" s="21">
        <f t="shared" si="2"/>
        <v>9</v>
      </c>
      <c r="C21" s="6" t="s">
        <v>2176</v>
      </c>
      <c r="D21" s="6" t="s">
        <v>2177</v>
      </c>
      <c r="E21" s="8"/>
      <c r="F21" s="7" t="s">
        <v>1892</v>
      </c>
      <c r="G21" s="7" t="str">
        <f t="shared" si="7"/>
        <v>integer</v>
      </c>
      <c r="H21" s="26"/>
      <c r="I21" s="10"/>
      <c r="J21" s="11"/>
      <c r="M21" s="4"/>
      <c r="N21" s="78"/>
      <c r="O21" s="78"/>
      <c r="P21" s="78" t="str">
        <f t="shared" si="8"/>
        <v>,data_standard_ketasu</v>
      </c>
      <c r="Q21" s="78" t="str">
        <f t="shared" si="9"/>
        <v>INTEGER</v>
      </c>
      <c r="R21" s="78" t="str">
        <f t="shared" si="10"/>
        <v/>
      </c>
      <c r="S21" s="78" t="str">
        <f t="shared" si="11"/>
        <v/>
      </c>
      <c r="T21" s="78" t="str">
        <f t="shared" si="12"/>
        <v>-- データ規格漢字有効桁数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milscm_2023_010.azn_202310_backup_mt_shinryo_koi_fuka.data_standard_ketasu IS 'データ規格漢字有効桁数';</v>
      </c>
    </row>
    <row r="22" spans="1:45" s="25" customFormat="1">
      <c r="A22" s="4"/>
      <c r="B22" s="21">
        <f t="shared" si="2"/>
        <v>10</v>
      </c>
      <c r="C22" s="6" t="s">
        <v>2178</v>
      </c>
      <c r="D22" s="6" t="s">
        <v>2179</v>
      </c>
      <c r="E22" s="8"/>
      <c r="F22" s="7" t="s">
        <v>1782</v>
      </c>
      <c r="G22" s="7" t="str">
        <f t="shared" si="7"/>
        <v>text</v>
      </c>
      <c r="H22" s="26"/>
      <c r="I22" s="10"/>
      <c r="J22" s="11"/>
      <c r="M22" s="4"/>
      <c r="N22" s="78"/>
      <c r="O22" s="78"/>
      <c r="P22" s="78" t="str">
        <f t="shared" si="8"/>
        <v>,data_standard_name</v>
      </c>
      <c r="Q22" s="78" t="str">
        <f t="shared" si="9"/>
        <v>TEXT</v>
      </c>
      <c r="R22" s="78" t="str">
        <f t="shared" si="10"/>
        <v/>
      </c>
      <c r="S22" s="78" t="str">
        <f t="shared" si="11"/>
        <v/>
      </c>
      <c r="T22" s="78" t="str">
        <f t="shared" si="12"/>
        <v>-- データ規格漢字名称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milscm_2023_010.azn_202310_backup_mt_shinryo_koi_fuka.data_standard_name IS 'データ規格漢字名称';</v>
      </c>
    </row>
    <row r="23" spans="1:45" s="25" customFormat="1">
      <c r="A23" s="4"/>
      <c r="B23" s="21">
        <f t="shared" si="2"/>
        <v>11</v>
      </c>
      <c r="C23" s="6" t="s">
        <v>2180</v>
      </c>
      <c r="D23" s="6" t="s">
        <v>2181</v>
      </c>
      <c r="E23" s="8"/>
      <c r="F23" s="7" t="s">
        <v>1892</v>
      </c>
      <c r="G23" s="7" t="str">
        <f t="shared" si="7"/>
        <v>integer</v>
      </c>
      <c r="H23" s="26"/>
      <c r="I23" s="10"/>
      <c r="J23" s="11"/>
      <c r="M23" s="4"/>
      <c r="N23" s="78"/>
      <c r="O23" s="78"/>
      <c r="P23" s="78" t="str">
        <f t="shared" si="8"/>
        <v>,gen_tensu_shikibetsu</v>
      </c>
      <c r="Q23" s="78" t="str">
        <f t="shared" si="9"/>
        <v>INTEGER</v>
      </c>
      <c r="R23" s="78" t="str">
        <f t="shared" si="10"/>
        <v/>
      </c>
      <c r="S23" s="78" t="str">
        <f t="shared" si="11"/>
        <v/>
      </c>
      <c r="T23" s="78" t="str">
        <f t="shared" si="12"/>
        <v>-- 新又は現点数識別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milscm_2023_010.azn_202310_backup_mt_shinryo_koi_fuka.gen_tensu_shikibetsu IS '新又は現点数識別';</v>
      </c>
    </row>
    <row r="24" spans="1:45" s="25" customFormat="1" ht="37.5">
      <c r="A24" s="4"/>
      <c r="B24" s="21">
        <f t="shared" si="2"/>
        <v>12</v>
      </c>
      <c r="C24" s="6" t="s">
        <v>2182</v>
      </c>
      <c r="D24" s="6" t="s">
        <v>2183</v>
      </c>
      <c r="E24" s="8"/>
      <c r="F24" s="7" t="s">
        <v>1789</v>
      </c>
      <c r="G24" s="7" t="str">
        <f t="shared" si="7"/>
        <v>numeric</v>
      </c>
      <c r="H24" s="26"/>
      <c r="I24" s="10"/>
      <c r="J24" s="11" t="s">
        <v>2440</v>
      </c>
      <c r="M24" s="4"/>
      <c r="N24" s="78"/>
      <c r="O24" s="78"/>
      <c r="P24" s="78" t="str">
        <f t="shared" si="8"/>
        <v>,gen_tensu</v>
      </c>
      <c r="Q24" s="78" t="str">
        <f t="shared" si="9"/>
        <v>NUMERIC</v>
      </c>
      <c r="R24" s="78" t="str">
        <f t="shared" si="10"/>
        <v/>
      </c>
      <c r="S24" s="78" t="str">
        <f t="shared" si="11"/>
        <v/>
      </c>
      <c r="T24" s="78" t="str">
        <f t="shared" si="12"/>
        <v>-- 新又は現点数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milscm_2023_010.azn_202310_backup_mt_shinryo_koi_fuka.gen_tensu IS '新又は現点数';</v>
      </c>
    </row>
    <row r="25" spans="1:45" s="25" customFormat="1">
      <c r="A25" s="4"/>
      <c r="B25" s="21">
        <f t="shared" si="2"/>
        <v>13</v>
      </c>
      <c r="C25" s="6" t="s">
        <v>2184</v>
      </c>
      <c r="D25" s="6" t="s">
        <v>2185</v>
      </c>
      <c r="E25" s="8"/>
      <c r="F25" s="7" t="s">
        <v>1782</v>
      </c>
      <c r="G25" s="7" t="str">
        <f t="shared" si="7"/>
        <v>text</v>
      </c>
      <c r="H25" s="26"/>
      <c r="I25" s="10"/>
      <c r="J25" s="11"/>
      <c r="M25" s="4"/>
      <c r="N25" s="78"/>
      <c r="O25" s="78"/>
      <c r="P25" s="78" t="str">
        <f t="shared" si="8"/>
        <v>,nyugai_tekiyo_kubun</v>
      </c>
      <c r="Q25" s="78" t="str">
        <f t="shared" si="9"/>
        <v>TEXT</v>
      </c>
      <c r="R25" s="78" t="str">
        <f t="shared" si="10"/>
        <v/>
      </c>
      <c r="S25" s="78" t="str">
        <f t="shared" si="11"/>
        <v/>
      </c>
      <c r="T25" s="78" t="str">
        <f t="shared" si="12"/>
        <v>-- 入外適用区分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milscm_2023_010.azn_202310_backup_mt_shinryo_koi_fuka.nyugai_tekiyo_kubun IS '入外適用区分';</v>
      </c>
    </row>
    <row r="26" spans="1:45" s="25" customFormat="1">
      <c r="A26" s="4"/>
      <c r="B26" s="21">
        <f t="shared" si="2"/>
        <v>14</v>
      </c>
      <c r="C26" s="6" t="s">
        <v>2186</v>
      </c>
      <c r="D26" s="6" t="s">
        <v>2187</v>
      </c>
      <c r="E26" s="8"/>
      <c r="F26" s="7" t="s">
        <v>1782</v>
      </c>
      <c r="G26" s="7" t="str">
        <f t="shared" si="7"/>
        <v>text</v>
      </c>
      <c r="H26" s="26"/>
      <c r="I26" s="10"/>
      <c r="J26" s="11"/>
      <c r="M26" s="4"/>
      <c r="N26" s="78"/>
      <c r="O26" s="78"/>
      <c r="P26" s="78" t="str">
        <f t="shared" si="8"/>
        <v>,aged_tekiyo_kubun</v>
      </c>
      <c r="Q26" s="78" t="str">
        <f t="shared" si="9"/>
        <v>TEXT</v>
      </c>
      <c r="R26" s="78" t="str">
        <f t="shared" si="10"/>
        <v/>
      </c>
      <c r="S26" s="78" t="str">
        <f t="shared" si="11"/>
        <v/>
      </c>
      <c r="T26" s="78" t="str">
        <f t="shared" si="12"/>
        <v>-- 後期高齢者医療適用区分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milscm_2023_010.azn_202310_backup_mt_shinryo_koi_fuka.aged_tekiyo_kubun IS '後期高齢者医療適用区分';</v>
      </c>
    </row>
    <row r="27" spans="1:45" s="25" customFormat="1" ht="31.5">
      <c r="A27" s="4"/>
      <c r="B27" s="21">
        <f t="shared" si="2"/>
        <v>15</v>
      </c>
      <c r="C27" s="6" t="s">
        <v>2188</v>
      </c>
      <c r="D27" s="6" t="s">
        <v>2189</v>
      </c>
      <c r="E27" s="8"/>
      <c r="F27" s="7" t="s">
        <v>1782</v>
      </c>
      <c r="G27" s="7" t="str">
        <f t="shared" si="7"/>
        <v>text</v>
      </c>
      <c r="H27" s="26"/>
      <c r="I27" s="10"/>
      <c r="J27" s="11"/>
      <c r="M27" s="4"/>
      <c r="N27" s="78"/>
      <c r="O27" s="78"/>
      <c r="P27" s="78" t="str">
        <f t="shared" si="8"/>
        <v>,tensuran_shikibetsu_nyuingai</v>
      </c>
      <c r="Q27" s="78" t="str">
        <f t="shared" si="9"/>
        <v>TEXT</v>
      </c>
      <c r="R27" s="78" t="str">
        <f t="shared" si="10"/>
        <v/>
      </c>
      <c r="S27" s="78" t="str">
        <f t="shared" si="11"/>
        <v/>
      </c>
      <c r="T27" s="78" t="str">
        <f t="shared" si="12"/>
        <v>-- 点数欄集計先識別（入院外）</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milscm_2023_010.azn_202310_backup_mt_shinryo_koi_fuka.tensuran_shikibetsu_nyuingai IS '点数欄集計先識別（入院外）';</v>
      </c>
    </row>
    <row r="28" spans="1:45" s="25" customFormat="1">
      <c r="A28" s="4"/>
      <c r="B28" s="21">
        <f t="shared" si="2"/>
        <v>16</v>
      </c>
      <c r="C28" s="6" t="s">
        <v>2190</v>
      </c>
      <c r="D28" s="6" t="s">
        <v>2191</v>
      </c>
      <c r="E28" s="8"/>
      <c r="F28" s="7" t="s">
        <v>1782</v>
      </c>
      <c r="G28" s="7" t="str">
        <f t="shared" si="7"/>
        <v>text</v>
      </c>
      <c r="H28" s="26"/>
      <c r="I28" s="10"/>
      <c r="J28" s="11"/>
      <c r="M28" s="4"/>
      <c r="N28" s="78"/>
      <c r="O28" s="78"/>
      <c r="P28" s="78" t="str">
        <f t="shared" si="8"/>
        <v>,hokatsu_kensa</v>
      </c>
      <c r="Q28" s="78" t="str">
        <f t="shared" si="9"/>
        <v>TEXT</v>
      </c>
      <c r="R28" s="78" t="str">
        <f t="shared" si="10"/>
        <v/>
      </c>
      <c r="S28" s="78" t="str">
        <f t="shared" si="11"/>
        <v/>
      </c>
      <c r="T28" s="78" t="str">
        <f t="shared" si="12"/>
        <v>-- 包括対象検査</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milscm_2023_010.azn_202310_backup_mt_shinryo_koi_fuka.hokatsu_kensa IS '包括対象検査';</v>
      </c>
    </row>
    <row r="29" spans="1:45" s="25" customFormat="1">
      <c r="A29" s="4"/>
      <c r="B29" s="21">
        <f t="shared" si="2"/>
        <v>17</v>
      </c>
      <c r="C29" s="6" t="s">
        <v>1993</v>
      </c>
      <c r="D29" s="6" t="s">
        <v>968</v>
      </c>
      <c r="E29" s="8"/>
      <c r="F29" s="7" t="s">
        <v>1782</v>
      </c>
      <c r="G29" s="7" t="str">
        <f t="shared" si="7"/>
        <v>text</v>
      </c>
      <c r="H29" s="26"/>
      <c r="I29" s="10"/>
      <c r="J29" s="11" t="s">
        <v>2441</v>
      </c>
      <c r="M29" s="4"/>
      <c r="N29" s="78"/>
      <c r="O29" s="78"/>
      <c r="P29" s="78" t="str">
        <f t="shared" si="8"/>
        <v>,reserve1</v>
      </c>
      <c r="Q29" s="78" t="str">
        <f t="shared" si="9"/>
        <v>TEXT</v>
      </c>
      <c r="R29" s="78" t="str">
        <f t="shared" si="10"/>
        <v/>
      </c>
      <c r="S29" s="78" t="str">
        <f t="shared" si="11"/>
        <v/>
      </c>
      <c r="T29" s="78" t="str">
        <f t="shared" si="12"/>
        <v>-- 予備1</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milscm_2023_010.azn_202310_backup_mt_shinryo_koi_fuka.reserve1 IS '予備1';</v>
      </c>
    </row>
    <row r="30" spans="1:45" s="25" customFormat="1">
      <c r="A30" s="4"/>
      <c r="B30" s="21">
        <f t="shared" si="2"/>
        <v>18</v>
      </c>
      <c r="C30" s="6" t="s">
        <v>2192</v>
      </c>
      <c r="D30" s="6" t="s">
        <v>2193</v>
      </c>
      <c r="E30" s="8"/>
      <c r="F30" s="7" t="s">
        <v>1782</v>
      </c>
      <c r="G30" s="7" t="str">
        <f t="shared" si="7"/>
        <v>text</v>
      </c>
      <c r="H30" s="26"/>
      <c r="I30" s="10"/>
      <c r="J30" s="11"/>
      <c r="M30" s="4"/>
      <c r="N30" s="78"/>
      <c r="O30" s="78"/>
      <c r="P30" s="78" t="str">
        <f t="shared" si="8"/>
        <v>,dpc_tekiyo_kubun</v>
      </c>
      <c r="Q30" s="78" t="str">
        <f t="shared" si="9"/>
        <v>TEXT</v>
      </c>
      <c r="R30" s="78" t="str">
        <f t="shared" si="10"/>
        <v/>
      </c>
      <c r="S30" s="78" t="str">
        <f t="shared" si="11"/>
        <v/>
      </c>
      <c r="T30" s="78" t="str">
        <f t="shared" si="12"/>
        <v>-- DPC適用区分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milscm_2023_010.azn_202310_backup_mt_shinryo_koi_fuka.dpc_tekiyo_kubun IS 'DPC適用区分';</v>
      </c>
    </row>
    <row r="31" spans="1:45" s="25" customFormat="1">
      <c r="A31" s="4"/>
      <c r="B31" s="21">
        <f t="shared" si="2"/>
        <v>19</v>
      </c>
      <c r="C31" s="6" t="s">
        <v>2194</v>
      </c>
      <c r="D31" s="6" t="s">
        <v>2195</v>
      </c>
      <c r="E31" s="8"/>
      <c r="F31" s="7" t="s">
        <v>1782</v>
      </c>
      <c r="G31" s="7" t="str">
        <f t="shared" si="7"/>
        <v>text</v>
      </c>
      <c r="H31" s="26"/>
      <c r="I31" s="10"/>
      <c r="J31" s="11"/>
      <c r="M31" s="4"/>
      <c r="N31" s="78"/>
      <c r="O31" s="78"/>
      <c r="P31" s="78" t="str">
        <f t="shared" si="8"/>
        <v>,clinic_kubun</v>
      </c>
      <c r="Q31" s="78" t="str">
        <f t="shared" si="9"/>
        <v>TEXT</v>
      </c>
      <c r="R31" s="78" t="str">
        <f t="shared" si="10"/>
        <v/>
      </c>
      <c r="S31" s="78" t="str">
        <f t="shared" si="11"/>
        <v/>
      </c>
      <c r="T31" s="78" t="str">
        <f t="shared" si="12"/>
        <v>-- 病院・診療所区分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milscm_2023_010.azn_202310_backup_mt_shinryo_koi_fuka.clinic_kubun IS '病院・診療所区分';</v>
      </c>
    </row>
    <row r="32" spans="1:45" s="25" customFormat="1">
      <c r="A32" s="4"/>
      <c r="B32" s="21">
        <f t="shared" si="2"/>
        <v>20</v>
      </c>
      <c r="C32" s="6" t="s">
        <v>2196</v>
      </c>
      <c r="D32" s="6" t="s">
        <v>2197</v>
      </c>
      <c r="E32" s="8"/>
      <c r="F32" s="7" t="s">
        <v>1782</v>
      </c>
      <c r="G32" s="7" t="str">
        <f t="shared" si="7"/>
        <v>text</v>
      </c>
      <c r="H32" s="26"/>
      <c r="I32" s="10"/>
      <c r="J32" s="11"/>
      <c r="M32" s="4"/>
      <c r="N32" s="78"/>
      <c r="O32" s="78"/>
      <c r="P32" s="78" t="str">
        <f t="shared" si="8"/>
        <v>,shujutsu_kasan_kubun</v>
      </c>
      <c r="Q32" s="78" t="str">
        <f t="shared" si="9"/>
        <v>TEXT</v>
      </c>
      <c r="R32" s="78" t="str">
        <f t="shared" si="10"/>
        <v/>
      </c>
      <c r="S32" s="78" t="str">
        <f t="shared" si="11"/>
        <v/>
      </c>
      <c r="T32" s="78" t="str">
        <f t="shared" si="12"/>
        <v>-- 画像等手術支援加算区分</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milscm_2023_010.azn_202310_backup_mt_shinryo_koi_fuka.shujutsu_kasan_kubun IS '画像等手術支援加算区分';</v>
      </c>
    </row>
    <row r="33" spans="1:45" s="25" customFormat="1">
      <c r="A33" s="4"/>
      <c r="B33" s="21">
        <f t="shared" si="2"/>
        <v>21</v>
      </c>
      <c r="C33" s="6" t="s">
        <v>2198</v>
      </c>
      <c r="D33" s="6" t="s">
        <v>2199</v>
      </c>
      <c r="E33" s="8"/>
      <c r="F33" s="7" t="s">
        <v>1782</v>
      </c>
      <c r="G33" s="7" t="str">
        <f t="shared" si="7"/>
        <v>text</v>
      </c>
      <c r="H33" s="26"/>
      <c r="I33" s="10"/>
      <c r="J33" s="11"/>
      <c r="M33" s="4"/>
      <c r="N33" s="78"/>
      <c r="O33" s="78"/>
      <c r="P33" s="78" t="str">
        <f t="shared" si="8"/>
        <v>,iryo_kansatsu_kubun</v>
      </c>
      <c r="Q33" s="78" t="str">
        <f t="shared" si="9"/>
        <v>TEXT</v>
      </c>
      <c r="R33" s="78" t="str">
        <f t="shared" si="10"/>
        <v/>
      </c>
      <c r="S33" s="78" t="str">
        <f t="shared" si="11"/>
        <v/>
      </c>
      <c r="T33" s="78" t="str">
        <f t="shared" si="12"/>
        <v>-- 医療観察法対象区分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milscm_2023_010.azn_202310_backup_mt_shinryo_koi_fuka.iryo_kansatsu_kubun IS '医療観察法対象区分';</v>
      </c>
    </row>
    <row r="34" spans="1:45" s="25" customFormat="1">
      <c r="A34" s="4"/>
      <c r="B34" s="21">
        <f t="shared" si="2"/>
        <v>22</v>
      </c>
      <c r="C34" s="6" t="s">
        <v>2200</v>
      </c>
      <c r="D34" s="6" t="s">
        <v>2201</v>
      </c>
      <c r="E34" s="8"/>
      <c r="F34" s="7" t="s">
        <v>1782</v>
      </c>
      <c r="G34" s="7" t="str">
        <f t="shared" si="7"/>
        <v>text</v>
      </c>
      <c r="H34" s="26"/>
      <c r="I34" s="10"/>
      <c r="J34" s="11"/>
      <c r="M34" s="4"/>
      <c r="N34" s="78"/>
      <c r="O34" s="78"/>
      <c r="P34" s="78" t="str">
        <f t="shared" si="8"/>
        <v>,kango_kasan</v>
      </c>
      <c r="Q34" s="78" t="str">
        <f t="shared" si="9"/>
        <v>TEXT</v>
      </c>
      <c r="R34" s="78" t="str">
        <f t="shared" si="10"/>
        <v/>
      </c>
      <c r="S34" s="78" t="str">
        <f t="shared" si="11"/>
        <v/>
      </c>
      <c r="T34" s="78" t="str">
        <f t="shared" si="12"/>
        <v>-- 看護加算</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milscm_2023_010.azn_202310_backup_mt_shinryo_koi_fuka.kango_kasan IS '看護加算';</v>
      </c>
    </row>
    <row r="35" spans="1:45" s="25" customFormat="1">
      <c r="A35" s="4"/>
      <c r="B35" s="21">
        <f t="shared" si="2"/>
        <v>23</v>
      </c>
      <c r="C35" s="6" t="s">
        <v>2202</v>
      </c>
      <c r="D35" s="6" t="s">
        <v>2203</v>
      </c>
      <c r="E35" s="8"/>
      <c r="F35" s="7" t="s">
        <v>1782</v>
      </c>
      <c r="G35" s="7" t="str">
        <f t="shared" si="7"/>
        <v>text</v>
      </c>
      <c r="H35" s="26"/>
      <c r="I35" s="10"/>
      <c r="J35" s="11"/>
      <c r="M35" s="4"/>
      <c r="N35" s="78"/>
      <c r="O35" s="78"/>
      <c r="P35" s="78" t="str">
        <f t="shared" si="8"/>
        <v>,masui_shujutsu_kubun</v>
      </c>
      <c r="Q35" s="78" t="str">
        <f t="shared" si="9"/>
        <v>TEXT</v>
      </c>
      <c r="R35" s="78" t="str">
        <f t="shared" si="10"/>
        <v/>
      </c>
      <c r="S35" s="78" t="str">
        <f t="shared" si="11"/>
        <v/>
      </c>
      <c r="T35" s="78" t="str">
        <f t="shared" si="12"/>
        <v>-- 麻酔識別区分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milscm_2023_010.azn_202310_backup_mt_shinryo_koi_fuka.masui_shujutsu_kubun IS '麻酔識別区分';</v>
      </c>
    </row>
    <row r="36" spans="1:45" s="25" customFormat="1">
      <c r="A36" s="4"/>
      <c r="B36" s="21">
        <f t="shared" si="2"/>
        <v>24</v>
      </c>
      <c r="C36" s="6" t="s">
        <v>1994</v>
      </c>
      <c r="D36" s="6" t="s">
        <v>1019</v>
      </c>
      <c r="E36" s="8"/>
      <c r="F36" s="7" t="s">
        <v>1782</v>
      </c>
      <c r="G36" s="7" t="str">
        <f t="shared" si="7"/>
        <v>text</v>
      </c>
      <c r="H36" s="26"/>
      <c r="I36" s="10"/>
      <c r="J36" s="11"/>
      <c r="M36" s="4"/>
      <c r="N36" s="78"/>
      <c r="O36" s="78"/>
      <c r="P36" s="78" t="str">
        <f t="shared" si="8"/>
        <v>,reserve2</v>
      </c>
      <c r="Q36" s="78" t="str">
        <f t="shared" si="9"/>
        <v>TEXT</v>
      </c>
      <c r="R36" s="78" t="str">
        <f t="shared" si="10"/>
        <v/>
      </c>
      <c r="S36" s="78" t="str">
        <f t="shared" si="11"/>
        <v/>
      </c>
      <c r="T36" s="78" t="str">
        <f t="shared" si="12"/>
        <v>-- 予備2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milscm_2023_010.azn_202310_backup_mt_shinryo_koi_fuka.reserve2 IS '予備2';</v>
      </c>
    </row>
    <row r="37" spans="1:45" s="25" customFormat="1">
      <c r="A37" s="4"/>
      <c r="B37" s="21">
        <f t="shared" si="2"/>
        <v>25</v>
      </c>
      <c r="C37" s="6" t="s">
        <v>2204</v>
      </c>
      <c r="D37" s="6" t="s">
        <v>2205</v>
      </c>
      <c r="E37" s="8"/>
      <c r="F37" s="7" t="s">
        <v>1782</v>
      </c>
      <c r="G37" s="7" t="str">
        <f t="shared" si="7"/>
        <v>text</v>
      </c>
      <c r="H37" s="26"/>
      <c r="I37" s="10"/>
      <c r="J37" s="11"/>
      <c r="M37" s="4"/>
      <c r="N37" s="78"/>
      <c r="O37" s="78"/>
      <c r="P37" s="78" t="str">
        <f t="shared" si="8"/>
        <v>,shobyo_kanren_kubun</v>
      </c>
      <c r="Q37" s="78" t="str">
        <f t="shared" si="9"/>
        <v>TEXT</v>
      </c>
      <c r="R37" s="78" t="str">
        <f t="shared" si="10"/>
        <v/>
      </c>
      <c r="S37" s="78" t="str">
        <f t="shared" si="11"/>
        <v/>
      </c>
      <c r="T37" s="78" t="str">
        <f t="shared" si="12"/>
        <v>-- 傷病名関連区分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milscm_2023_010.azn_202310_backup_mt_shinryo_koi_fuka.shobyo_kanren_kubun IS '傷病名関連区分';</v>
      </c>
    </row>
    <row r="38" spans="1:45" s="25" customFormat="1">
      <c r="A38" s="4"/>
      <c r="B38" s="21">
        <f t="shared" si="2"/>
        <v>26</v>
      </c>
      <c r="C38" s="6" t="s">
        <v>2000</v>
      </c>
      <c r="D38" s="6" t="s">
        <v>1021</v>
      </c>
      <c r="E38" s="8"/>
      <c r="F38" s="7" t="s">
        <v>1782</v>
      </c>
      <c r="G38" s="7" t="str">
        <f t="shared" si="7"/>
        <v>text</v>
      </c>
      <c r="H38" s="26"/>
      <c r="I38" s="10"/>
      <c r="J38" s="11"/>
      <c r="M38" s="4"/>
      <c r="N38" s="78"/>
      <c r="O38" s="78"/>
      <c r="P38" s="78" t="str">
        <f t="shared" si="8"/>
        <v>,reserve3</v>
      </c>
      <c r="Q38" s="78" t="str">
        <f t="shared" si="9"/>
        <v>TEXT</v>
      </c>
      <c r="R38" s="78" t="str">
        <f t="shared" si="10"/>
        <v/>
      </c>
      <c r="S38" s="78" t="str">
        <f t="shared" si="11"/>
        <v/>
      </c>
      <c r="T38" s="78" t="str">
        <f t="shared" si="12"/>
        <v>-- 予備3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milscm_2023_010.azn_202310_backup_mt_shinryo_koi_fuka.reserve3 IS '予備3';</v>
      </c>
    </row>
    <row r="39" spans="1:45" s="25" customFormat="1">
      <c r="A39" s="4"/>
      <c r="B39" s="21">
        <f t="shared" si="2"/>
        <v>27</v>
      </c>
      <c r="C39" s="6" t="s">
        <v>2206</v>
      </c>
      <c r="D39" s="6" t="s">
        <v>2207</v>
      </c>
      <c r="E39" s="8"/>
      <c r="F39" s="7" t="s">
        <v>1892</v>
      </c>
      <c r="G39" s="7" t="str">
        <f t="shared" si="7"/>
        <v>integer</v>
      </c>
      <c r="H39" s="26"/>
      <c r="I39" s="10"/>
      <c r="J39" s="11"/>
      <c r="M39" s="4"/>
      <c r="N39" s="78"/>
      <c r="O39" s="78"/>
      <c r="P39" s="78" t="str">
        <f t="shared" si="8"/>
        <v>,jitsu_days</v>
      </c>
      <c r="Q39" s="78" t="str">
        <f t="shared" si="9"/>
        <v>INTEGER</v>
      </c>
      <c r="R39" s="78" t="str">
        <f t="shared" si="10"/>
        <v/>
      </c>
      <c r="S39" s="78" t="str">
        <f t="shared" si="11"/>
        <v/>
      </c>
      <c r="T39" s="78" t="str">
        <f t="shared" si="12"/>
        <v>-- 実日数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milscm_2023_010.azn_202310_backup_mt_shinryo_koi_fuka.jitsu_days IS '実日数';</v>
      </c>
    </row>
    <row r="40" spans="1:45" s="25" customFormat="1">
      <c r="A40" s="4"/>
      <c r="B40" s="21">
        <f t="shared" si="2"/>
        <v>28</v>
      </c>
      <c r="C40" s="6" t="s">
        <v>2208</v>
      </c>
      <c r="D40" s="6" t="s">
        <v>2209</v>
      </c>
      <c r="E40" s="8"/>
      <c r="F40" s="7" t="s">
        <v>1892</v>
      </c>
      <c r="G40" s="7" t="str">
        <f t="shared" si="7"/>
        <v>integer</v>
      </c>
      <c r="H40" s="26"/>
      <c r="I40" s="10"/>
      <c r="J40" s="11"/>
      <c r="M40" s="4"/>
      <c r="N40" s="78"/>
      <c r="O40" s="78"/>
      <c r="P40" s="78" t="str">
        <f t="shared" si="8"/>
        <v>,days_times</v>
      </c>
      <c r="Q40" s="78" t="str">
        <f t="shared" si="9"/>
        <v>INTEGER</v>
      </c>
      <c r="R40" s="78" t="str">
        <f t="shared" si="10"/>
        <v/>
      </c>
      <c r="S40" s="78" t="str">
        <f t="shared" si="11"/>
        <v/>
      </c>
      <c r="T40" s="78" t="str">
        <f t="shared" si="12"/>
        <v>-- 日数・回数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milscm_2023_010.azn_202310_backup_mt_shinryo_koi_fuka.days_times IS '日数・回数';</v>
      </c>
    </row>
    <row r="41" spans="1:45" s="25" customFormat="1">
      <c r="A41" s="4"/>
      <c r="B41" s="21">
        <f t="shared" si="2"/>
        <v>29</v>
      </c>
      <c r="C41" s="6" t="s">
        <v>2210</v>
      </c>
      <c r="D41" s="6" t="s">
        <v>2211</v>
      </c>
      <c r="E41" s="8"/>
      <c r="F41" s="7" t="s">
        <v>1782</v>
      </c>
      <c r="G41" s="7" t="str">
        <f t="shared" si="7"/>
        <v>text</v>
      </c>
      <c r="H41" s="26"/>
      <c r="I41" s="10"/>
      <c r="J41" s="11"/>
      <c r="M41" s="4"/>
      <c r="N41" s="78"/>
      <c r="O41" s="78"/>
      <c r="P41" s="78" t="str">
        <f t="shared" si="8"/>
        <v>,iyakuhin_kanren_kubun</v>
      </c>
      <c r="Q41" s="78" t="str">
        <f t="shared" si="9"/>
        <v>TEXT</v>
      </c>
      <c r="R41" s="78" t="str">
        <f t="shared" si="10"/>
        <v/>
      </c>
      <c r="S41" s="78" t="str">
        <f t="shared" si="11"/>
        <v/>
      </c>
      <c r="T41" s="78" t="str">
        <f t="shared" si="12"/>
        <v>-- 医薬品関連区分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milscm_2023_010.azn_202310_backup_mt_shinryo_koi_fuka.iyakuhin_kanren_kubun IS '医薬品関連区分';</v>
      </c>
    </row>
    <row r="42" spans="1:45" s="25" customFormat="1">
      <c r="A42" s="4"/>
      <c r="B42" s="21">
        <f t="shared" si="2"/>
        <v>30</v>
      </c>
      <c r="C42" s="6" t="s">
        <v>2212</v>
      </c>
      <c r="D42" s="6" t="s">
        <v>2213</v>
      </c>
      <c r="E42" s="8"/>
      <c r="F42" s="7" t="s">
        <v>1782</v>
      </c>
      <c r="G42" s="7" t="str">
        <f t="shared" si="7"/>
        <v>text</v>
      </c>
      <c r="H42" s="26"/>
      <c r="I42" s="10"/>
      <c r="J42" s="11"/>
      <c r="M42" s="4"/>
      <c r="N42" s="78"/>
      <c r="O42" s="78"/>
      <c r="P42" s="78" t="str">
        <f t="shared" si="8"/>
        <v>,kizami_keisan_shikibetsu</v>
      </c>
      <c r="Q42" s="78" t="str">
        <f t="shared" si="9"/>
        <v>TEXT</v>
      </c>
      <c r="R42" s="78" t="str">
        <f t="shared" si="10"/>
        <v/>
      </c>
      <c r="S42" s="78" t="str">
        <f t="shared" si="11"/>
        <v/>
      </c>
      <c r="T42" s="78" t="str">
        <f t="shared" si="12"/>
        <v>-- きざみ値計算識別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milscm_2023_010.azn_202310_backup_mt_shinryo_koi_fuka.kizami_keisan_shikibetsu IS 'きざみ値計算識別';</v>
      </c>
    </row>
    <row r="43" spans="1:45" s="25" customFormat="1">
      <c r="A43" s="4"/>
      <c r="B43" s="21">
        <f t="shared" si="2"/>
        <v>31</v>
      </c>
      <c r="C43" s="6" t="s">
        <v>2214</v>
      </c>
      <c r="D43" s="6" t="s">
        <v>2215</v>
      </c>
      <c r="E43" s="8"/>
      <c r="F43" s="7" t="s">
        <v>1892</v>
      </c>
      <c r="G43" s="7" t="str">
        <f t="shared" si="7"/>
        <v>integer</v>
      </c>
      <c r="H43" s="26"/>
      <c r="I43" s="10"/>
      <c r="J43" s="11"/>
      <c r="M43" s="4"/>
      <c r="N43" s="78"/>
      <c r="O43" s="78"/>
      <c r="P43" s="78" t="str">
        <f t="shared" si="8"/>
        <v>,kizami_low</v>
      </c>
      <c r="Q43" s="78" t="str">
        <f t="shared" si="9"/>
        <v>INTEGER</v>
      </c>
      <c r="R43" s="78" t="str">
        <f t="shared" si="10"/>
        <v/>
      </c>
      <c r="S43" s="78" t="str">
        <f t="shared" si="11"/>
        <v/>
      </c>
      <c r="T43" s="78" t="str">
        <f t="shared" si="12"/>
        <v>-- きざみ値下限値</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milscm_2023_010.azn_202310_backup_mt_shinryo_koi_fuka.kizami_low IS 'きざみ値下限値';</v>
      </c>
    </row>
    <row r="44" spans="1:45" s="25" customFormat="1">
      <c r="A44" s="4"/>
      <c r="B44" s="21">
        <f t="shared" si="2"/>
        <v>32</v>
      </c>
      <c r="C44" s="6" t="s">
        <v>2216</v>
      </c>
      <c r="D44" s="6" t="s">
        <v>2217</v>
      </c>
      <c r="E44" s="8"/>
      <c r="F44" s="7" t="s">
        <v>1892</v>
      </c>
      <c r="G44" s="7" t="str">
        <f t="shared" si="7"/>
        <v>integer</v>
      </c>
      <c r="H44" s="26"/>
      <c r="I44" s="10"/>
      <c r="J44" s="11"/>
      <c r="M44" s="4"/>
      <c r="N44" s="78"/>
      <c r="O44" s="78"/>
      <c r="P44" s="78" t="str">
        <f t="shared" si="8"/>
        <v>,kizami_up</v>
      </c>
      <c r="Q44" s="78" t="str">
        <f t="shared" si="9"/>
        <v>INTEGER</v>
      </c>
      <c r="R44" s="78" t="str">
        <f t="shared" si="10"/>
        <v/>
      </c>
      <c r="S44" s="78" t="str">
        <f t="shared" si="11"/>
        <v/>
      </c>
      <c r="T44" s="78" t="str">
        <f t="shared" si="12"/>
        <v>-- きざみ値上限値</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milscm_2023_010.azn_202310_backup_mt_shinryo_koi_fuka.kizami_up IS 'きざみ値上限値';</v>
      </c>
    </row>
    <row r="45" spans="1:45" s="25" customFormat="1">
      <c r="A45" s="4"/>
      <c r="B45" s="21">
        <f t="shared" si="2"/>
        <v>33</v>
      </c>
      <c r="C45" s="6" t="s">
        <v>2218</v>
      </c>
      <c r="D45" s="6" t="s">
        <v>2219</v>
      </c>
      <c r="E45" s="8"/>
      <c r="F45" s="7" t="s">
        <v>1892</v>
      </c>
      <c r="G45" s="7" t="str">
        <f t="shared" si="7"/>
        <v>integer</v>
      </c>
      <c r="H45" s="26"/>
      <c r="I45" s="10"/>
      <c r="J45" s="11"/>
      <c r="M45" s="4"/>
      <c r="N45" s="78"/>
      <c r="O45" s="78"/>
      <c r="P45" s="78" t="str">
        <f t="shared" si="8"/>
        <v>,kizami_value</v>
      </c>
      <c r="Q45" s="78" t="str">
        <f t="shared" si="9"/>
        <v>INTEGER</v>
      </c>
      <c r="R45" s="78" t="str">
        <f t="shared" si="10"/>
        <v/>
      </c>
      <c r="S45" s="78" t="str">
        <f t="shared" si="11"/>
        <v/>
      </c>
      <c r="T45" s="78" t="str">
        <f t="shared" si="12"/>
        <v>-- きざみ値</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milscm_2023_010.azn_202310_backup_mt_shinryo_koi_fuka.kizami_value IS 'きざみ値';</v>
      </c>
    </row>
    <row r="46" spans="1:45" s="25" customFormat="1" ht="37.5">
      <c r="A46" s="4"/>
      <c r="B46" s="21">
        <f t="shared" si="2"/>
        <v>34</v>
      </c>
      <c r="C46" s="6" t="s">
        <v>2220</v>
      </c>
      <c r="D46" s="6" t="s">
        <v>2221</v>
      </c>
      <c r="E46" s="8"/>
      <c r="F46" s="7" t="s">
        <v>1789</v>
      </c>
      <c r="G46" s="7" t="str">
        <f t="shared" si="7"/>
        <v>numeric</v>
      </c>
      <c r="H46" s="26"/>
      <c r="I46" s="10"/>
      <c r="J46" s="11" t="s">
        <v>2440</v>
      </c>
      <c r="M46" s="4"/>
      <c r="N46" s="78"/>
      <c r="O46" s="78"/>
      <c r="P46" s="78" t="str">
        <f t="shared" si="8"/>
        <v>,kizami_tensu</v>
      </c>
      <c r="Q46" s="78" t="str">
        <f t="shared" si="9"/>
        <v>NUMERIC</v>
      </c>
      <c r="R46" s="78" t="str">
        <f t="shared" si="10"/>
        <v/>
      </c>
      <c r="S46" s="78" t="str">
        <f t="shared" si="11"/>
        <v/>
      </c>
      <c r="T46" s="78" t="str">
        <f t="shared" si="12"/>
        <v>-- きざみ点数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milscm_2023_010.azn_202310_backup_mt_shinryo_koi_fuka.kizami_tensu IS 'きざみ点数';</v>
      </c>
    </row>
    <row r="47" spans="1:45" s="25" customFormat="1">
      <c r="A47" s="4"/>
      <c r="B47" s="21">
        <f t="shared" si="2"/>
        <v>35</v>
      </c>
      <c r="C47" s="6" t="s">
        <v>2222</v>
      </c>
      <c r="D47" s="6" t="s">
        <v>2223</v>
      </c>
      <c r="E47" s="8"/>
      <c r="F47" s="7" t="s">
        <v>1782</v>
      </c>
      <c r="G47" s="7" t="str">
        <f t="shared" si="7"/>
        <v>text</v>
      </c>
      <c r="H47" s="26"/>
      <c r="I47" s="10"/>
      <c r="J47" s="11"/>
      <c r="M47" s="4"/>
      <c r="N47" s="78"/>
      <c r="O47" s="78"/>
      <c r="P47" s="78" t="str">
        <f t="shared" si="8"/>
        <v>,up_low_error</v>
      </c>
      <c r="Q47" s="78" t="str">
        <f t="shared" si="9"/>
        <v>TEXT</v>
      </c>
      <c r="R47" s="78" t="str">
        <f t="shared" si="10"/>
        <v/>
      </c>
      <c r="S47" s="78" t="str">
        <f t="shared" si="11"/>
        <v/>
      </c>
      <c r="T47" s="78" t="str">
        <f t="shared" si="12"/>
        <v>-- 上下限エラー処理</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milscm_2023_010.azn_202310_backup_mt_shinryo_koi_fuka.up_low_error IS '上下限エラー処理';</v>
      </c>
    </row>
    <row r="48" spans="1:45" s="25" customFormat="1">
      <c r="A48" s="4"/>
      <c r="B48" s="21">
        <f t="shared" si="2"/>
        <v>36</v>
      </c>
      <c r="C48" s="6" t="s">
        <v>2224</v>
      </c>
      <c r="D48" s="6" t="s">
        <v>2225</v>
      </c>
      <c r="E48" s="8"/>
      <c r="F48" s="7" t="s">
        <v>1892</v>
      </c>
      <c r="G48" s="7" t="str">
        <f t="shared" si="7"/>
        <v>integer</v>
      </c>
      <c r="H48" s="26"/>
      <c r="I48" s="10"/>
      <c r="J48" s="11"/>
      <c r="M48" s="4"/>
      <c r="N48" s="78"/>
      <c r="O48" s="78"/>
      <c r="P48" s="78" t="str">
        <f t="shared" si="8"/>
        <v>,up_times</v>
      </c>
      <c r="Q48" s="78" t="str">
        <f t="shared" si="9"/>
        <v>INTEGER</v>
      </c>
      <c r="R48" s="78" t="str">
        <f t="shared" si="10"/>
        <v/>
      </c>
      <c r="S48" s="78" t="str">
        <f t="shared" si="11"/>
        <v/>
      </c>
      <c r="T48" s="78" t="str">
        <f t="shared" si="12"/>
        <v>-- 上限回数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milscm_2023_010.azn_202310_backup_mt_shinryo_koi_fuka.up_times IS '上限回数';</v>
      </c>
    </row>
    <row r="49" spans="1:45" s="25" customFormat="1">
      <c r="A49" s="4"/>
      <c r="B49" s="21">
        <f t="shared" si="2"/>
        <v>37</v>
      </c>
      <c r="C49" s="6" t="s">
        <v>2226</v>
      </c>
      <c r="D49" s="6" t="s">
        <v>2227</v>
      </c>
      <c r="E49" s="8"/>
      <c r="F49" s="7" t="s">
        <v>1782</v>
      </c>
      <c r="G49" s="7" t="str">
        <f t="shared" si="7"/>
        <v>text</v>
      </c>
      <c r="H49" s="26"/>
      <c r="I49" s="10"/>
      <c r="J49" s="11"/>
      <c r="M49" s="4"/>
      <c r="N49" s="78"/>
      <c r="O49" s="78"/>
      <c r="P49" s="78" t="str">
        <f t="shared" si="8"/>
        <v>,up_times_error</v>
      </c>
      <c r="Q49" s="78" t="str">
        <f t="shared" si="9"/>
        <v>TEXT</v>
      </c>
      <c r="R49" s="78" t="str">
        <f t="shared" si="10"/>
        <v/>
      </c>
      <c r="S49" s="78" t="str">
        <f t="shared" si="11"/>
        <v/>
      </c>
      <c r="T49" s="78" t="str">
        <f t="shared" si="12"/>
        <v>-- 上限回数エラー処理</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milscm_2023_010.azn_202310_backup_mt_shinryo_koi_fuka.up_times_error IS '上限回数エラー処理';</v>
      </c>
    </row>
    <row r="50" spans="1:45" s="25" customFormat="1">
      <c r="A50" s="4"/>
      <c r="B50" s="21">
        <f t="shared" si="2"/>
        <v>38</v>
      </c>
      <c r="C50" s="6" t="s">
        <v>2228</v>
      </c>
      <c r="D50" s="6" t="s">
        <v>2229</v>
      </c>
      <c r="E50" s="8"/>
      <c r="F50" s="7" t="s">
        <v>1782</v>
      </c>
      <c r="G50" s="7" t="str">
        <f t="shared" si="7"/>
        <v>text</v>
      </c>
      <c r="H50" s="26"/>
      <c r="I50" s="10"/>
      <c r="J50" s="11"/>
      <c r="M50" s="4"/>
      <c r="N50" s="78"/>
      <c r="O50" s="78"/>
      <c r="P50" s="78" t="str">
        <f t="shared" si="8"/>
        <v>,chu_kasan_code</v>
      </c>
      <c r="Q50" s="78" t="str">
        <f t="shared" si="9"/>
        <v>TEXT</v>
      </c>
      <c r="R50" s="78" t="str">
        <f t="shared" si="10"/>
        <v/>
      </c>
      <c r="S50" s="78" t="str">
        <f t="shared" si="11"/>
        <v/>
      </c>
      <c r="T50" s="78" t="str">
        <f t="shared" si="12"/>
        <v>-- 注加算コード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milscm_2023_010.azn_202310_backup_mt_shinryo_koi_fuka.chu_kasan_code IS '注加算コード';</v>
      </c>
    </row>
    <row r="51" spans="1:45" s="25" customFormat="1">
      <c r="A51" s="4"/>
      <c r="B51" s="21">
        <f t="shared" si="2"/>
        <v>39</v>
      </c>
      <c r="C51" s="6" t="s">
        <v>2230</v>
      </c>
      <c r="D51" s="6" t="s">
        <v>2231</v>
      </c>
      <c r="E51" s="8"/>
      <c r="F51" s="7" t="s">
        <v>1782</v>
      </c>
      <c r="G51" s="7" t="str">
        <f t="shared" si="7"/>
        <v>text</v>
      </c>
      <c r="H51" s="26"/>
      <c r="I51" s="10"/>
      <c r="J51" s="11"/>
      <c r="M51" s="4"/>
      <c r="N51" s="78"/>
      <c r="O51" s="78"/>
      <c r="P51" s="78" t="str">
        <f t="shared" si="8"/>
        <v>,chu_kasan_no</v>
      </c>
      <c r="Q51" s="78" t="str">
        <f t="shared" si="9"/>
        <v>TEXT</v>
      </c>
      <c r="R51" s="78" t="str">
        <f t="shared" si="10"/>
        <v/>
      </c>
      <c r="S51" s="78" t="str">
        <f t="shared" si="11"/>
        <v/>
      </c>
      <c r="T51" s="78" t="str">
        <f t="shared" si="12"/>
        <v>-- 注加算通番</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milscm_2023_010.azn_202310_backup_mt_shinryo_koi_fuka.chu_kasan_no IS '注加算通番';</v>
      </c>
    </row>
    <row r="52" spans="1:45" s="25" customFormat="1">
      <c r="A52" s="4"/>
      <c r="B52" s="21">
        <f t="shared" si="2"/>
        <v>40</v>
      </c>
      <c r="C52" s="6" t="s">
        <v>2232</v>
      </c>
      <c r="D52" s="6" t="s">
        <v>2233</v>
      </c>
      <c r="E52" s="8"/>
      <c r="F52" s="7" t="s">
        <v>1782</v>
      </c>
      <c r="G52" s="7" t="str">
        <f t="shared" si="7"/>
        <v>text</v>
      </c>
      <c r="H52" s="26"/>
      <c r="I52" s="10"/>
      <c r="J52" s="11"/>
      <c r="M52" s="4"/>
      <c r="N52" s="78"/>
      <c r="O52" s="78"/>
      <c r="P52" s="78" t="str">
        <f t="shared" si="8"/>
        <v>,tsusoku_age</v>
      </c>
      <c r="Q52" s="78" t="str">
        <f t="shared" si="9"/>
        <v>TEXT</v>
      </c>
      <c r="R52" s="78" t="str">
        <f t="shared" si="10"/>
        <v/>
      </c>
      <c r="S52" s="78" t="str">
        <f t="shared" si="11"/>
        <v/>
      </c>
      <c r="T52" s="78" t="str">
        <f t="shared" si="12"/>
        <v>-- 通則年齢</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milscm_2023_010.azn_202310_backup_mt_shinryo_koi_fuka.tsusoku_age IS '通則年齢';</v>
      </c>
    </row>
    <row r="53" spans="1:45" s="25" customFormat="1">
      <c r="A53" s="4"/>
      <c r="B53" s="21">
        <f t="shared" si="2"/>
        <v>41</v>
      </c>
      <c r="C53" s="6" t="s">
        <v>2234</v>
      </c>
      <c r="D53" s="6" t="s">
        <v>2235</v>
      </c>
      <c r="E53" s="8"/>
      <c r="F53" s="7" t="s">
        <v>1782</v>
      </c>
      <c r="G53" s="7" t="str">
        <f t="shared" si="7"/>
        <v>text</v>
      </c>
      <c r="H53" s="26"/>
      <c r="I53" s="10"/>
      <c r="J53" s="11"/>
      <c r="M53" s="4"/>
      <c r="N53" s="78"/>
      <c r="O53" s="78"/>
      <c r="P53" s="78" t="str">
        <f t="shared" si="8"/>
        <v>,low_age</v>
      </c>
      <c r="Q53" s="78" t="str">
        <f t="shared" si="9"/>
        <v>TEXT</v>
      </c>
      <c r="R53" s="78" t="str">
        <f t="shared" si="10"/>
        <v/>
      </c>
      <c r="S53" s="78" t="str">
        <f t="shared" si="11"/>
        <v/>
      </c>
      <c r="T53" s="78" t="str">
        <f t="shared" si="12"/>
        <v>-- 下限年齢</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milscm_2023_010.azn_202310_backup_mt_shinryo_koi_fuka.low_age IS '下限年齢';</v>
      </c>
    </row>
    <row r="54" spans="1:45" s="25" customFormat="1">
      <c r="A54" s="4"/>
      <c r="B54" s="21">
        <f t="shared" si="2"/>
        <v>42</v>
      </c>
      <c r="C54" s="6" t="s">
        <v>2236</v>
      </c>
      <c r="D54" s="6" t="s">
        <v>2237</v>
      </c>
      <c r="E54" s="8"/>
      <c r="F54" s="7" t="s">
        <v>1782</v>
      </c>
      <c r="G54" s="7" t="str">
        <f t="shared" si="7"/>
        <v>text</v>
      </c>
      <c r="H54" s="26"/>
      <c r="I54" s="10"/>
      <c r="J54" s="11"/>
      <c r="M54" s="4"/>
      <c r="N54" s="78"/>
      <c r="O54" s="78"/>
      <c r="P54" s="78" t="str">
        <f t="shared" si="8"/>
        <v>,up_age</v>
      </c>
      <c r="Q54" s="78" t="str">
        <f t="shared" si="9"/>
        <v>TEXT</v>
      </c>
      <c r="R54" s="78" t="str">
        <f t="shared" si="10"/>
        <v/>
      </c>
      <c r="S54" s="78" t="str">
        <f t="shared" si="11"/>
        <v/>
      </c>
      <c r="T54" s="78" t="str">
        <f t="shared" si="12"/>
        <v>-- 上限年齢</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milscm_2023_010.azn_202310_backup_mt_shinryo_koi_fuka.up_age IS '上限年齢';</v>
      </c>
    </row>
    <row r="55" spans="1:45" s="25" customFormat="1">
      <c r="A55" s="4"/>
      <c r="B55" s="21">
        <f t="shared" si="2"/>
        <v>43</v>
      </c>
      <c r="C55" s="6" t="s">
        <v>2238</v>
      </c>
      <c r="D55" s="6" t="s">
        <v>2239</v>
      </c>
      <c r="E55" s="8"/>
      <c r="F55" s="7" t="s">
        <v>1782</v>
      </c>
      <c r="G55" s="7" t="str">
        <f t="shared" si="7"/>
        <v>text</v>
      </c>
      <c r="H55" s="26"/>
      <c r="I55" s="10"/>
      <c r="J55" s="11"/>
      <c r="M55" s="4"/>
      <c r="N55" s="78"/>
      <c r="O55" s="78"/>
      <c r="P55" s="78" t="str">
        <f t="shared" si="8"/>
        <v>,time_kasan_kubun</v>
      </c>
      <c r="Q55" s="78" t="str">
        <f t="shared" si="9"/>
        <v>TEXT</v>
      </c>
      <c r="R55" s="78" t="str">
        <f t="shared" si="10"/>
        <v/>
      </c>
      <c r="S55" s="78" t="str">
        <f t="shared" si="11"/>
        <v/>
      </c>
      <c r="T55" s="78" t="str">
        <f t="shared" si="12"/>
        <v>-- 時間加算区分</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milscm_2023_010.azn_202310_backup_mt_shinryo_koi_fuka.time_kasan_kubun IS '時間加算区分';</v>
      </c>
    </row>
    <row r="56" spans="1:45" s="25" customFormat="1">
      <c r="A56" s="4"/>
      <c r="B56" s="21">
        <f t="shared" si="2"/>
        <v>44</v>
      </c>
      <c r="C56" s="6" t="s">
        <v>2240</v>
      </c>
      <c r="D56" s="6" t="s">
        <v>2241</v>
      </c>
      <c r="E56" s="8"/>
      <c r="F56" s="7" t="s">
        <v>1782</v>
      </c>
      <c r="G56" s="7" t="str">
        <f t="shared" si="7"/>
        <v>text</v>
      </c>
      <c r="H56" s="26"/>
      <c r="I56" s="10"/>
      <c r="J56" s="11"/>
      <c r="M56" s="4"/>
      <c r="N56" s="78"/>
      <c r="O56" s="78"/>
      <c r="P56" s="78" t="str">
        <f t="shared" si="8"/>
        <v>,tekigo_kubun</v>
      </c>
      <c r="Q56" s="78" t="str">
        <f t="shared" si="9"/>
        <v>TEXT</v>
      </c>
      <c r="R56" s="78" t="str">
        <f t="shared" si="10"/>
        <v/>
      </c>
      <c r="S56" s="78" t="str">
        <f t="shared" si="11"/>
        <v/>
      </c>
      <c r="T56" s="78" t="str">
        <f t="shared" si="12"/>
        <v>-- 適合区分</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milscm_2023_010.azn_202310_backup_mt_shinryo_koi_fuka.tekigo_kubun IS '適合区分';</v>
      </c>
    </row>
    <row r="57" spans="1:45" s="25" customFormat="1">
      <c r="A57" s="4"/>
      <c r="B57" s="21">
        <f t="shared" si="2"/>
        <v>45</v>
      </c>
      <c r="C57" s="6" t="s">
        <v>2242</v>
      </c>
      <c r="D57" s="6" t="s">
        <v>2243</v>
      </c>
      <c r="E57" s="8"/>
      <c r="F57" s="7" t="s">
        <v>1782</v>
      </c>
      <c r="G57" s="7" t="str">
        <f t="shared" si="7"/>
        <v>text</v>
      </c>
      <c r="H57" s="26"/>
      <c r="I57" s="10"/>
      <c r="J57" s="11"/>
      <c r="M57" s="4"/>
      <c r="N57" s="78"/>
      <c r="O57" s="78"/>
      <c r="P57" s="78" t="str">
        <f t="shared" si="8"/>
        <v>,facility_kijun</v>
      </c>
      <c r="Q57" s="78" t="str">
        <f t="shared" si="9"/>
        <v>TEXT</v>
      </c>
      <c r="R57" s="78" t="str">
        <f t="shared" si="10"/>
        <v/>
      </c>
      <c r="S57" s="78" t="str">
        <f t="shared" si="11"/>
        <v/>
      </c>
      <c r="T57" s="78" t="str">
        <f t="shared" si="12"/>
        <v>-- 対象施設基準</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milscm_2023_010.azn_202310_backup_mt_shinryo_koi_fuka.facility_kijun IS '対象施設基準';</v>
      </c>
    </row>
    <row r="58" spans="1:45" s="25" customFormat="1">
      <c r="A58" s="4"/>
      <c r="B58" s="21">
        <f t="shared" si="2"/>
        <v>46</v>
      </c>
      <c r="C58" s="6" t="s">
        <v>2244</v>
      </c>
      <c r="D58" s="6" t="s">
        <v>2245</v>
      </c>
      <c r="E58" s="8"/>
      <c r="F58" s="7" t="s">
        <v>1782</v>
      </c>
      <c r="G58" s="7" t="str">
        <f t="shared" si="7"/>
        <v>text</v>
      </c>
      <c r="H58" s="26"/>
      <c r="I58" s="10"/>
      <c r="J58" s="11"/>
      <c r="M58" s="4"/>
      <c r="N58" s="78"/>
      <c r="O58" s="78"/>
      <c r="P58" s="78" t="str">
        <f t="shared" si="8"/>
        <v>,nyuyoji_kasan_kubun</v>
      </c>
      <c r="Q58" s="78" t="str">
        <f t="shared" si="9"/>
        <v>TEXT</v>
      </c>
      <c r="R58" s="78" t="str">
        <f t="shared" si="10"/>
        <v/>
      </c>
      <c r="S58" s="78" t="str">
        <f t="shared" si="11"/>
        <v/>
      </c>
      <c r="T58" s="78" t="str">
        <f t="shared" si="12"/>
        <v>-- 処置乳幼児加算区分</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milscm_2023_010.azn_202310_backup_mt_shinryo_koi_fuka.nyuyoji_kasan_kubun IS '処置乳幼児加算区分';</v>
      </c>
    </row>
    <row r="59" spans="1:45" s="25" customFormat="1">
      <c r="A59" s="4"/>
      <c r="B59" s="21">
        <f t="shared" si="2"/>
        <v>47</v>
      </c>
      <c r="C59" s="6" t="s">
        <v>2246</v>
      </c>
      <c r="D59" s="6" t="s">
        <v>2247</v>
      </c>
      <c r="E59" s="8"/>
      <c r="F59" s="7" t="s">
        <v>1782</v>
      </c>
      <c r="G59" s="7" t="str">
        <f t="shared" si="7"/>
        <v>text</v>
      </c>
      <c r="H59" s="26"/>
      <c r="I59" s="10"/>
      <c r="J59" s="11"/>
      <c r="M59" s="4"/>
      <c r="N59" s="78"/>
      <c r="O59" s="78"/>
      <c r="P59" s="78" t="str">
        <f t="shared" si="8"/>
        <v>,taijuji_kasan_kubun</v>
      </c>
      <c r="Q59" s="78" t="str">
        <f t="shared" si="9"/>
        <v>TEXT</v>
      </c>
      <c r="R59" s="78" t="str">
        <f t="shared" si="10"/>
        <v/>
      </c>
      <c r="S59" s="78" t="str">
        <f t="shared" si="11"/>
        <v/>
      </c>
      <c r="T59" s="78" t="str">
        <f t="shared" si="12"/>
        <v>-- 極低出生体重児加算区分</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milscm_2023_010.azn_202310_backup_mt_shinryo_koi_fuka.taijuji_kasan_kubun IS '極低出生体重児加算区分';</v>
      </c>
    </row>
    <row r="60" spans="1:45" s="25" customFormat="1" ht="31.5">
      <c r="A60" s="4"/>
      <c r="B60" s="21">
        <f t="shared" si="2"/>
        <v>48</v>
      </c>
      <c r="C60" s="6" t="s">
        <v>2248</v>
      </c>
      <c r="D60" s="6" t="s">
        <v>2249</v>
      </c>
      <c r="E60" s="8"/>
      <c r="F60" s="7" t="s">
        <v>1782</v>
      </c>
      <c r="G60" s="7" t="str">
        <f t="shared" si="7"/>
        <v>text</v>
      </c>
      <c r="H60" s="26"/>
      <c r="I60" s="10"/>
      <c r="J60" s="11"/>
      <c r="M60" s="4"/>
      <c r="N60" s="78"/>
      <c r="O60" s="78"/>
      <c r="P60" s="78" t="str">
        <f t="shared" si="8"/>
        <v>,nyuin_kihon_gensan_shikibetsu</v>
      </c>
      <c r="Q60" s="78" t="str">
        <f t="shared" si="9"/>
        <v>TEXT</v>
      </c>
      <c r="R60" s="78" t="str">
        <f t="shared" si="10"/>
        <v/>
      </c>
      <c r="S60" s="78" t="str">
        <f t="shared" si="11"/>
        <v/>
      </c>
      <c r="T60" s="78" t="str">
        <f t="shared" si="12"/>
        <v>-- 入院基本料等減算対象識別</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milscm_2023_010.azn_202310_backup_mt_shinryo_koi_fuka.nyuin_kihon_gensan_shikibetsu IS '入院基本料等減算対象識別';</v>
      </c>
    </row>
    <row r="61" spans="1:45" s="25" customFormat="1">
      <c r="A61" s="4"/>
      <c r="B61" s="21">
        <f t="shared" si="2"/>
        <v>49</v>
      </c>
      <c r="C61" s="6" t="s">
        <v>2250</v>
      </c>
      <c r="D61" s="6" t="s">
        <v>2251</v>
      </c>
      <c r="E61" s="8"/>
      <c r="F61" s="7" t="s">
        <v>1782</v>
      </c>
      <c r="G61" s="7" t="str">
        <f t="shared" si="7"/>
        <v>text</v>
      </c>
      <c r="H61" s="26"/>
      <c r="I61" s="10"/>
      <c r="J61" s="11"/>
      <c r="M61" s="4"/>
      <c r="N61" s="78"/>
      <c r="O61" s="78"/>
      <c r="P61" s="78" t="str">
        <f t="shared" si="8"/>
        <v>,donor_kubun</v>
      </c>
      <c r="Q61" s="78" t="str">
        <f t="shared" si="9"/>
        <v>TEXT</v>
      </c>
      <c r="R61" s="78" t="str">
        <f t="shared" si="10"/>
        <v/>
      </c>
      <c r="S61" s="78" t="str">
        <f t="shared" si="11"/>
        <v/>
      </c>
      <c r="T61" s="78" t="str">
        <f t="shared" si="12"/>
        <v>-- ドナー分集計区分</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milscm_2023_010.azn_202310_backup_mt_shinryo_koi_fuka.donor_kubun IS 'ドナー分集計区分';</v>
      </c>
    </row>
    <row r="62" spans="1:45" s="25" customFormat="1">
      <c r="A62" s="4"/>
      <c r="B62" s="21">
        <f t="shared" si="2"/>
        <v>50</v>
      </c>
      <c r="C62" s="6" t="s">
        <v>2252</v>
      </c>
      <c r="D62" s="6" t="s">
        <v>2253</v>
      </c>
      <c r="E62" s="8"/>
      <c r="F62" s="7" t="s">
        <v>1782</v>
      </c>
      <c r="G62" s="7" t="str">
        <f t="shared" si="7"/>
        <v>text</v>
      </c>
      <c r="H62" s="26"/>
      <c r="I62" s="10"/>
      <c r="J62" s="11"/>
      <c r="M62" s="4"/>
      <c r="N62" s="78"/>
      <c r="O62" s="78"/>
      <c r="P62" s="78" t="str">
        <f t="shared" si="8"/>
        <v>,kensa_handan_kubun</v>
      </c>
      <c r="Q62" s="78" t="str">
        <f t="shared" si="9"/>
        <v>TEXT</v>
      </c>
      <c r="R62" s="78" t="str">
        <f t="shared" si="10"/>
        <v/>
      </c>
      <c r="S62" s="78" t="str">
        <f t="shared" si="11"/>
        <v/>
      </c>
      <c r="T62" s="78" t="str">
        <f t="shared" si="12"/>
        <v>-- 検査等実施判断区分</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milscm_2023_010.azn_202310_backup_mt_shinryo_koi_fuka.kensa_handan_kubun IS '検査等実施判断区分';</v>
      </c>
    </row>
    <row r="63" spans="1:45" s="25" customFormat="1" ht="31.5">
      <c r="A63" s="4"/>
      <c r="B63" s="21">
        <f t="shared" si="2"/>
        <v>51</v>
      </c>
      <c r="C63" s="6" t="s">
        <v>2254</v>
      </c>
      <c r="D63" s="6" t="s">
        <v>2255</v>
      </c>
      <c r="E63" s="8"/>
      <c r="F63" s="7" t="s">
        <v>1782</v>
      </c>
      <c r="G63" s="7" t="str">
        <f t="shared" si="7"/>
        <v>text</v>
      </c>
      <c r="H63" s="26"/>
      <c r="I63" s="10"/>
      <c r="J63" s="11"/>
      <c r="M63" s="4"/>
      <c r="N63" s="78"/>
      <c r="O63" s="78"/>
      <c r="P63" s="78" t="str">
        <f t="shared" si="8"/>
        <v>,kensa_handan_group_kubun</v>
      </c>
      <c r="Q63" s="78" t="str">
        <f t="shared" si="9"/>
        <v>TEXT</v>
      </c>
      <c r="R63" s="78" t="str">
        <f t="shared" si="10"/>
        <v/>
      </c>
      <c r="S63" s="78" t="str">
        <f t="shared" si="11"/>
        <v/>
      </c>
      <c r="T63" s="78" t="str">
        <f t="shared" si="12"/>
        <v>-- 検査等実施判断グループ区分</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milscm_2023_010.azn_202310_backup_mt_shinryo_koi_fuka.kensa_handan_group_kubun IS '検査等実施判断グループ区分';</v>
      </c>
    </row>
    <row r="64" spans="1:45" s="25" customFormat="1">
      <c r="A64" s="4"/>
      <c r="B64" s="21">
        <f t="shared" si="2"/>
        <v>52</v>
      </c>
      <c r="C64" s="6" t="s">
        <v>2256</v>
      </c>
      <c r="D64" s="6" t="s">
        <v>2257</v>
      </c>
      <c r="E64" s="8"/>
      <c r="F64" s="7" t="s">
        <v>1782</v>
      </c>
      <c r="G64" s="7" t="str">
        <f t="shared" si="7"/>
        <v>text</v>
      </c>
      <c r="H64" s="26"/>
      <c r="I64" s="10"/>
      <c r="J64" s="11"/>
      <c r="M64" s="4"/>
      <c r="N64" s="78"/>
      <c r="O64" s="78"/>
      <c r="P64" s="78" t="str">
        <f t="shared" si="8"/>
        <v>,teigen_kubun</v>
      </c>
      <c r="Q64" s="78" t="str">
        <f t="shared" si="9"/>
        <v>TEXT</v>
      </c>
      <c r="R64" s="78" t="str">
        <f t="shared" si="10"/>
        <v/>
      </c>
      <c r="S64" s="78" t="str">
        <f t="shared" si="11"/>
        <v/>
      </c>
      <c r="T64" s="78" t="str">
        <f t="shared" si="12"/>
        <v>-- 逓減対象区分</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milscm_2023_010.azn_202310_backup_mt_shinryo_koi_fuka.teigen_kubun IS '逓減対象区分';</v>
      </c>
    </row>
    <row r="65" spans="1:45" s="25" customFormat="1">
      <c r="A65" s="4"/>
      <c r="B65" s="21">
        <f t="shared" si="2"/>
        <v>53</v>
      </c>
      <c r="C65" s="6" t="s">
        <v>2258</v>
      </c>
      <c r="D65" s="6" t="s">
        <v>2259</v>
      </c>
      <c r="E65" s="8"/>
      <c r="F65" s="7" t="s">
        <v>1782</v>
      </c>
      <c r="G65" s="7" t="str">
        <f t="shared" si="7"/>
        <v>text</v>
      </c>
      <c r="H65" s="26"/>
      <c r="I65" s="10"/>
      <c r="J65" s="11"/>
      <c r="M65" s="4"/>
      <c r="N65" s="78"/>
      <c r="O65" s="78"/>
      <c r="P65" s="78" t="str">
        <f t="shared" si="8"/>
        <v>,sekizui_kasan_kubun</v>
      </c>
      <c r="Q65" s="78" t="str">
        <f t="shared" si="9"/>
        <v>TEXT</v>
      </c>
      <c r="R65" s="78" t="str">
        <f t="shared" si="10"/>
        <v/>
      </c>
      <c r="S65" s="78" t="str">
        <f t="shared" si="11"/>
        <v/>
      </c>
      <c r="T65" s="78" t="str">
        <f t="shared" si="12"/>
        <v>-- 脊髄誘発電位測定等加算区分</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milscm_2023_010.azn_202310_backup_mt_shinryo_koi_fuka.sekizui_kasan_kubun IS '脊髄誘発電位測定等加算区分';</v>
      </c>
    </row>
    <row r="66" spans="1:45" s="25" customFormat="1">
      <c r="A66" s="4"/>
      <c r="B66" s="21">
        <f t="shared" si="2"/>
        <v>54</v>
      </c>
      <c r="C66" s="6" t="s">
        <v>2260</v>
      </c>
      <c r="D66" s="6" t="s">
        <v>2261</v>
      </c>
      <c r="E66" s="8"/>
      <c r="F66" s="7" t="s">
        <v>1782</v>
      </c>
      <c r="G66" s="7" t="str">
        <f t="shared" si="7"/>
        <v>text</v>
      </c>
      <c r="H66" s="26"/>
      <c r="I66" s="10"/>
      <c r="J66" s="11"/>
      <c r="M66" s="4"/>
      <c r="N66" s="78"/>
      <c r="O66" s="78"/>
      <c r="P66" s="78" t="str">
        <f t="shared" si="8"/>
        <v>,keibu_kasan_kubun</v>
      </c>
      <c r="Q66" s="78" t="str">
        <f t="shared" si="9"/>
        <v>TEXT</v>
      </c>
      <c r="R66" s="78" t="str">
        <f t="shared" si="10"/>
        <v/>
      </c>
      <c r="S66" s="78" t="str">
        <f t="shared" si="11"/>
        <v/>
      </c>
      <c r="T66" s="78" t="str">
        <f t="shared" si="12"/>
        <v>-- 頸部郭清術併施加算区分</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milscm_2023_010.azn_202310_backup_mt_shinryo_koi_fuka.keibu_kasan_kubun IS '頸部郭清術併施加算区分';</v>
      </c>
    </row>
    <row r="67" spans="1:45" s="25" customFormat="1">
      <c r="A67" s="4"/>
      <c r="B67" s="21">
        <f t="shared" si="2"/>
        <v>55</v>
      </c>
      <c r="C67" s="6" t="s">
        <v>2262</v>
      </c>
      <c r="D67" s="6" t="s">
        <v>2263</v>
      </c>
      <c r="E67" s="8"/>
      <c r="F67" s="7" t="s">
        <v>1782</v>
      </c>
      <c r="G67" s="7" t="str">
        <f t="shared" si="7"/>
        <v>text</v>
      </c>
      <c r="H67" s="26"/>
      <c r="I67" s="10"/>
      <c r="J67" s="11"/>
      <c r="M67" s="4"/>
      <c r="N67" s="78"/>
      <c r="O67" s="78"/>
      <c r="P67" s="78" t="str">
        <f t="shared" si="8"/>
        <v>,hogoki_kasan_kubun</v>
      </c>
      <c r="Q67" s="78" t="str">
        <f t="shared" si="9"/>
        <v>TEXT</v>
      </c>
      <c r="R67" s="78" t="str">
        <f t="shared" si="10"/>
        <v/>
      </c>
      <c r="S67" s="78" t="str">
        <f t="shared" si="11"/>
        <v/>
      </c>
      <c r="T67" s="78" t="str">
        <f t="shared" si="12"/>
        <v>-- 自動縫合器加算区分</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milscm_2023_010.azn_202310_backup_mt_shinryo_koi_fuka.hogoki_kasan_kubun IS '自動縫合器加算区分';</v>
      </c>
    </row>
    <row r="68" spans="1:45" s="25" customFormat="1">
      <c r="A68" s="4"/>
      <c r="B68" s="21">
        <f t="shared" si="2"/>
        <v>56</v>
      </c>
      <c r="C68" s="6" t="s">
        <v>2264</v>
      </c>
      <c r="D68" s="6" t="s">
        <v>2265</v>
      </c>
      <c r="E68" s="8"/>
      <c r="F68" s="7" t="s">
        <v>1782</v>
      </c>
      <c r="G68" s="7" t="str">
        <f t="shared" si="7"/>
        <v>text</v>
      </c>
      <c r="H68" s="26"/>
      <c r="I68" s="10"/>
      <c r="J68" s="11"/>
      <c r="M68" s="4"/>
      <c r="N68" s="78"/>
      <c r="O68" s="78"/>
      <c r="P68" s="78" t="str">
        <f t="shared" si="8"/>
        <v>,gairai_kasan_kubun</v>
      </c>
      <c r="Q68" s="78" t="str">
        <f t="shared" si="9"/>
        <v>TEXT</v>
      </c>
      <c r="R68" s="78" t="str">
        <f t="shared" si="10"/>
        <v/>
      </c>
      <c r="S68" s="78" t="str">
        <f t="shared" si="11"/>
        <v/>
      </c>
      <c r="T68" s="78" t="str">
        <f t="shared" si="12"/>
        <v>-- 外来管理加算区分</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milscm_2023_010.azn_202310_backup_mt_shinryo_koi_fuka.gairai_kasan_kubun IS '外来管理加算区分';</v>
      </c>
    </row>
    <row r="69" spans="1:45" s="25" customFormat="1">
      <c r="A69" s="4"/>
      <c r="B69" s="21">
        <f t="shared" si="2"/>
        <v>57</v>
      </c>
      <c r="C69" s="6" t="s">
        <v>2266</v>
      </c>
      <c r="D69" s="6" t="s">
        <v>2267</v>
      </c>
      <c r="E69" s="8"/>
      <c r="F69" s="7" t="s">
        <v>1782</v>
      </c>
      <c r="G69" s="7" t="str">
        <f t="shared" si="7"/>
        <v>text</v>
      </c>
      <c r="H69" s="26"/>
      <c r="I69" s="10"/>
      <c r="J69" s="11"/>
      <c r="M69" s="4"/>
      <c r="N69" s="78"/>
      <c r="O69" s="78"/>
      <c r="P69" s="78" t="str">
        <f t="shared" si="8"/>
        <v>,old_tensu_shikibetsu</v>
      </c>
      <c r="Q69" s="78" t="str">
        <f t="shared" si="9"/>
        <v>TEXT</v>
      </c>
      <c r="R69" s="78" t="str">
        <f t="shared" si="10"/>
        <v/>
      </c>
      <c r="S69" s="78" t="str">
        <f t="shared" si="11"/>
        <v/>
      </c>
      <c r="T69" s="78" t="str">
        <f t="shared" si="12"/>
        <v>-- 旧点数識別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milscm_2023_010.azn_202310_backup_mt_shinryo_koi_fuka.old_tensu_shikibetsu IS '旧点数識別';</v>
      </c>
    </row>
    <row r="70" spans="1:45" s="25" customFormat="1" ht="37.5">
      <c r="A70" s="4"/>
      <c r="B70" s="21">
        <f t="shared" si="2"/>
        <v>58</v>
      </c>
      <c r="C70" s="6" t="s">
        <v>2268</v>
      </c>
      <c r="D70" s="6" t="s">
        <v>2269</v>
      </c>
      <c r="E70" s="8"/>
      <c r="F70" s="7" t="s">
        <v>1789</v>
      </c>
      <c r="G70" s="7" t="str">
        <f t="shared" si="7"/>
        <v>numeric</v>
      </c>
      <c r="H70" s="26"/>
      <c r="I70" s="10"/>
      <c r="J70" s="11" t="s">
        <v>2440</v>
      </c>
      <c r="M70" s="4"/>
      <c r="N70" s="78"/>
      <c r="O70" s="78"/>
      <c r="P70" s="78" t="str">
        <f t="shared" si="8"/>
        <v>,old_tensu</v>
      </c>
      <c r="Q70" s="78" t="str">
        <f t="shared" si="9"/>
        <v>NUMERIC</v>
      </c>
      <c r="R70" s="78" t="str">
        <f t="shared" si="10"/>
        <v/>
      </c>
      <c r="S70" s="78" t="str">
        <f t="shared" si="11"/>
        <v/>
      </c>
      <c r="T70" s="78" t="str">
        <f t="shared" si="12"/>
        <v>-- 旧点数</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milscm_2023_010.azn_202310_backup_mt_shinryo_koi_fuka.old_tensu IS '旧点数';</v>
      </c>
    </row>
    <row r="71" spans="1:45" s="25" customFormat="1">
      <c r="A71" s="4"/>
      <c r="B71" s="21">
        <f t="shared" si="2"/>
        <v>59</v>
      </c>
      <c r="C71" s="6" t="s">
        <v>2270</v>
      </c>
      <c r="D71" s="6" t="s">
        <v>2271</v>
      </c>
      <c r="E71" s="8"/>
      <c r="F71" s="7" t="s">
        <v>1782</v>
      </c>
      <c r="G71" s="7" t="str">
        <f t="shared" si="7"/>
        <v>text</v>
      </c>
      <c r="H71" s="26"/>
      <c r="I71" s="10"/>
      <c r="J71" s="11"/>
      <c r="M71" s="4"/>
      <c r="N71" s="78"/>
      <c r="O71" s="78"/>
      <c r="P71" s="78" t="str">
        <f t="shared" si="8"/>
        <v>,kanji_henko_kubun</v>
      </c>
      <c r="Q71" s="78" t="str">
        <f t="shared" si="9"/>
        <v>TEXT</v>
      </c>
      <c r="R71" s="78" t="str">
        <f t="shared" si="10"/>
        <v/>
      </c>
      <c r="S71" s="78" t="str">
        <f t="shared" si="11"/>
        <v/>
      </c>
      <c r="T71" s="78" t="str">
        <f t="shared" si="12"/>
        <v>-- 漢字名称変更区分</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milscm_2023_010.azn_202310_backup_mt_shinryo_koi_fuka.kanji_henko_kubun IS '漢字名称変更区分';</v>
      </c>
    </row>
    <row r="72" spans="1:45" s="25" customFormat="1">
      <c r="A72" s="4"/>
      <c r="B72" s="21">
        <f t="shared" si="2"/>
        <v>60</v>
      </c>
      <c r="C72" s="6" t="s">
        <v>2272</v>
      </c>
      <c r="D72" s="6" t="s">
        <v>2273</v>
      </c>
      <c r="E72" s="8"/>
      <c r="F72" s="7" t="s">
        <v>1782</v>
      </c>
      <c r="G72" s="7" t="str">
        <f t="shared" si="7"/>
        <v>text</v>
      </c>
      <c r="H72" s="26"/>
      <c r="I72" s="10"/>
      <c r="J72" s="11"/>
      <c r="M72" s="4"/>
      <c r="N72" s="78"/>
      <c r="O72" s="78"/>
      <c r="P72" s="78" t="str">
        <f t="shared" si="8"/>
        <v>,kana_henko_kubun</v>
      </c>
      <c r="Q72" s="78" t="str">
        <f t="shared" si="9"/>
        <v>TEXT</v>
      </c>
      <c r="R72" s="78" t="str">
        <f t="shared" si="10"/>
        <v/>
      </c>
      <c r="S72" s="78" t="str">
        <f t="shared" si="11"/>
        <v/>
      </c>
      <c r="T72" s="78" t="str">
        <f t="shared" si="12"/>
        <v>-- カナ名称変更区分</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milscm_2023_010.azn_202310_backup_mt_shinryo_koi_fuka.kana_henko_kubun IS 'カナ名称変更区分';</v>
      </c>
    </row>
    <row r="73" spans="1:45" s="25" customFormat="1">
      <c r="A73" s="4"/>
      <c r="B73" s="21">
        <f t="shared" si="2"/>
        <v>61</v>
      </c>
      <c r="C73" s="6" t="s">
        <v>2274</v>
      </c>
      <c r="D73" s="6" t="s">
        <v>2275</v>
      </c>
      <c r="E73" s="8"/>
      <c r="F73" s="7" t="s">
        <v>1782</v>
      </c>
      <c r="G73" s="7" t="str">
        <f t="shared" si="7"/>
        <v>text</v>
      </c>
      <c r="H73" s="26"/>
      <c r="I73" s="10"/>
      <c r="J73" s="11"/>
      <c r="M73" s="4"/>
      <c r="N73" s="78"/>
      <c r="O73" s="78"/>
      <c r="P73" s="78" t="str">
        <f t="shared" si="8"/>
        <v>,kentai_comment</v>
      </c>
      <c r="Q73" s="78" t="str">
        <f t="shared" si="9"/>
        <v>TEXT</v>
      </c>
      <c r="R73" s="78" t="str">
        <f t="shared" si="10"/>
        <v/>
      </c>
      <c r="S73" s="78" t="str">
        <f t="shared" si="11"/>
        <v/>
      </c>
      <c r="T73" s="78" t="str">
        <f t="shared" si="12"/>
        <v>-- 検体検査コメント</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milscm_2023_010.azn_202310_backup_mt_shinryo_koi_fuka.kentai_comment IS '検体検査コメント';</v>
      </c>
    </row>
    <row r="74" spans="1:45" s="25" customFormat="1">
      <c r="A74" s="4"/>
      <c r="B74" s="21">
        <f t="shared" si="2"/>
        <v>62</v>
      </c>
      <c r="C74" s="6" t="s">
        <v>2276</v>
      </c>
      <c r="D74" s="6" t="s">
        <v>2277</v>
      </c>
      <c r="E74" s="8"/>
      <c r="F74" s="7" t="s">
        <v>1782</v>
      </c>
      <c r="G74" s="7" t="str">
        <f t="shared" si="7"/>
        <v>text</v>
      </c>
      <c r="H74" s="26"/>
      <c r="I74" s="10"/>
      <c r="J74" s="11"/>
      <c r="M74" s="4"/>
      <c r="N74" s="78"/>
      <c r="O74" s="78"/>
      <c r="P74" s="78" t="str">
        <f t="shared" si="8"/>
        <v>,tsusoku_kasan_tensu</v>
      </c>
      <c r="Q74" s="78" t="str">
        <f t="shared" si="9"/>
        <v>TEXT</v>
      </c>
      <c r="R74" s="78" t="str">
        <f t="shared" si="10"/>
        <v/>
      </c>
      <c r="S74" s="78" t="str">
        <f t="shared" si="11"/>
        <v/>
      </c>
      <c r="T74" s="78" t="str">
        <f t="shared" si="12"/>
        <v>-- 通則加算所定点数対象区分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milscm_2023_010.azn_202310_backup_mt_shinryo_koi_fuka.tsusoku_kasan_tensu IS '通則加算所定点数対象区分';</v>
      </c>
    </row>
    <row r="75" spans="1:45" s="25" customFormat="1">
      <c r="A75" s="4"/>
      <c r="B75" s="21">
        <f t="shared" si="2"/>
        <v>63</v>
      </c>
      <c r="C75" s="6" t="s">
        <v>2278</v>
      </c>
      <c r="D75" s="6" t="s">
        <v>2279</v>
      </c>
      <c r="E75" s="8"/>
      <c r="F75" s="7" t="s">
        <v>1782</v>
      </c>
      <c r="G75" s="7" t="str">
        <f t="shared" si="7"/>
        <v>text</v>
      </c>
      <c r="H75" s="26"/>
      <c r="I75" s="10"/>
      <c r="J75" s="11"/>
      <c r="M75" s="4"/>
      <c r="N75" s="78"/>
      <c r="O75" s="78"/>
      <c r="P75" s="78" t="str">
        <f t="shared" si="8"/>
        <v>,hokatsu_teigen_kubun</v>
      </c>
      <c r="Q75" s="78" t="str">
        <f t="shared" si="9"/>
        <v>TEXT</v>
      </c>
      <c r="R75" s="78" t="str">
        <f t="shared" si="10"/>
        <v/>
      </c>
      <c r="S75" s="78" t="str">
        <f t="shared" si="11"/>
        <v/>
      </c>
      <c r="T75" s="78" t="str">
        <f t="shared" si="12"/>
        <v>-- 包括逓減区分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milscm_2023_010.azn_202310_backup_mt_shinryo_koi_fuka.hokatsu_teigen_kubun IS '包括逓減区分';</v>
      </c>
    </row>
    <row r="76" spans="1:45" s="25" customFormat="1" ht="31.5">
      <c r="A76" s="4"/>
      <c r="B76" s="21">
        <f t="shared" si="2"/>
        <v>64</v>
      </c>
      <c r="C76" s="6" t="s">
        <v>2280</v>
      </c>
      <c r="D76" s="6" t="s">
        <v>2281</v>
      </c>
      <c r="E76" s="8"/>
      <c r="F76" s="7" t="s">
        <v>1782</v>
      </c>
      <c r="G76" s="7" t="str">
        <f t="shared" si="7"/>
        <v>text</v>
      </c>
      <c r="H76" s="26"/>
      <c r="I76" s="10"/>
      <c r="J76" s="11"/>
      <c r="M76" s="4"/>
      <c r="N76" s="78"/>
      <c r="O76" s="78"/>
      <c r="P76" s="78" t="str">
        <f t="shared" si="8"/>
        <v>,choonpa_naishikyo_kasan_kubun</v>
      </c>
      <c r="Q76" s="78" t="str">
        <f t="shared" si="9"/>
        <v>TEXT</v>
      </c>
      <c r="R76" s="78" t="str">
        <f t="shared" si="10"/>
        <v/>
      </c>
      <c r="S76" s="78" t="str">
        <f t="shared" si="11"/>
        <v/>
      </c>
      <c r="T76" s="78" t="str">
        <f t="shared" si="12"/>
        <v>-- 超音波内視鏡加算区分</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milscm_2023_010.azn_202310_backup_mt_shinryo_koi_fuka.choonpa_naishikyo_kasan_kubun IS '超音波内視鏡加算区分';</v>
      </c>
    </row>
    <row r="77" spans="1:45" s="25" customFormat="1">
      <c r="A77" s="4"/>
      <c r="B77" s="21">
        <f t="shared" si="2"/>
        <v>65</v>
      </c>
      <c r="C77" s="6" t="s">
        <v>2005</v>
      </c>
      <c r="D77" s="6" t="s">
        <v>1228</v>
      </c>
      <c r="E77" s="8"/>
      <c r="F77" s="7" t="s">
        <v>1782</v>
      </c>
      <c r="G77" s="7" t="str">
        <f t="shared" si="7"/>
        <v>text</v>
      </c>
      <c r="H77" s="26"/>
      <c r="I77" s="10"/>
      <c r="J77" s="11" t="s">
        <v>2441</v>
      </c>
      <c r="M77" s="4"/>
      <c r="N77" s="78"/>
      <c r="O77" s="78"/>
      <c r="P77" s="78" t="str">
        <f t="shared" si="8"/>
        <v>,reserve4</v>
      </c>
      <c r="Q77" s="78" t="str">
        <f t="shared" si="9"/>
        <v>TEXT</v>
      </c>
      <c r="R77" s="78" t="str">
        <f t="shared" si="10"/>
        <v/>
      </c>
      <c r="S77" s="78" t="str">
        <f t="shared" si="11"/>
        <v/>
      </c>
      <c r="T77" s="78" t="str">
        <f t="shared" si="12"/>
        <v>-- 予備4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milscm_2023_010.azn_202310_backup_mt_shinryo_koi_fuka.reserve4 IS '予備4';</v>
      </c>
    </row>
    <row r="78" spans="1:45" s="25" customFormat="1">
      <c r="A78" s="4"/>
      <c r="B78" s="21">
        <f t="shared" si="2"/>
        <v>66</v>
      </c>
      <c r="C78" s="6" t="s">
        <v>2282</v>
      </c>
      <c r="D78" s="6" t="s">
        <v>2283</v>
      </c>
      <c r="E78" s="8"/>
      <c r="F78" s="7" t="s">
        <v>1782</v>
      </c>
      <c r="G78" s="7" t="str">
        <f t="shared" si="7"/>
        <v>text</v>
      </c>
      <c r="H78" s="26"/>
      <c r="I78" s="10"/>
      <c r="J78" s="11"/>
      <c r="M78" s="4"/>
      <c r="N78" s="78"/>
      <c r="O78" s="78"/>
      <c r="P78" s="78" t="str">
        <f t="shared" si="8"/>
        <v>,tensuran_shikibetsu_nyuin</v>
      </c>
      <c r="Q78" s="78" t="str">
        <f t="shared" si="9"/>
        <v>TEXT</v>
      </c>
      <c r="R78" s="78" t="str">
        <f t="shared" si="10"/>
        <v/>
      </c>
      <c r="S78" s="78" t="str">
        <f t="shared" si="11"/>
        <v/>
      </c>
      <c r="T78" s="78" t="str">
        <f t="shared" si="12"/>
        <v>-- 点数欄集計先識別（入院）</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milscm_2023_010.azn_202310_backup_mt_shinryo_koi_fuka.tensuran_shikibetsu_nyuin IS '点数欄集計先識別（入院）';</v>
      </c>
    </row>
    <row r="79" spans="1:45" s="25" customFormat="1">
      <c r="A79" s="4"/>
      <c r="B79" s="21">
        <f t="shared" si="2"/>
        <v>67</v>
      </c>
      <c r="C79" s="6" t="s">
        <v>2284</v>
      </c>
      <c r="D79" s="6" t="s">
        <v>2285</v>
      </c>
      <c r="E79" s="8"/>
      <c r="F79" s="7" t="s">
        <v>1782</v>
      </c>
      <c r="G79" s="7" t="str">
        <f t="shared" si="7"/>
        <v>text</v>
      </c>
      <c r="H79" s="26"/>
      <c r="I79" s="10"/>
      <c r="J79" s="11"/>
      <c r="M79" s="4"/>
      <c r="N79" s="78"/>
      <c r="O79" s="78"/>
      <c r="P79" s="78" t="str">
        <f t="shared" si="8"/>
        <v>,fungoki_kasan_kubun</v>
      </c>
      <c r="Q79" s="78" t="str">
        <f t="shared" si="9"/>
        <v>TEXT</v>
      </c>
      <c r="R79" s="78" t="str">
        <f t="shared" si="10"/>
        <v/>
      </c>
      <c r="S79" s="78" t="str">
        <f t="shared" si="11"/>
        <v/>
      </c>
      <c r="T79" s="78" t="str">
        <f t="shared" si="12"/>
        <v>-- 自動吻合器加算区分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milscm_2023_010.azn_202310_backup_mt_shinryo_koi_fuka.fungoki_kasan_kubun IS '自動吻合器加算区分';</v>
      </c>
    </row>
    <row r="80" spans="1:45" s="25" customFormat="1">
      <c r="A80" s="4"/>
      <c r="B80" s="21">
        <f t="shared" si="2"/>
        <v>68</v>
      </c>
      <c r="C80" s="6" t="s">
        <v>2286</v>
      </c>
      <c r="D80" s="6" t="s">
        <v>2287</v>
      </c>
      <c r="E80" s="8"/>
      <c r="F80" s="7" t="s">
        <v>1782</v>
      </c>
      <c r="G80" s="7" t="str">
        <f t="shared" si="7"/>
        <v>text</v>
      </c>
      <c r="H80" s="26"/>
      <c r="I80" s="10"/>
      <c r="J80" s="11"/>
      <c r="M80" s="4"/>
      <c r="N80" s="78"/>
      <c r="O80" s="78"/>
      <c r="P80" s="78" t="str">
        <f t="shared" si="8"/>
        <v>,kokuji_shikibetsu_kubun1</v>
      </c>
      <c r="Q80" s="78" t="str">
        <f t="shared" si="9"/>
        <v>TEXT</v>
      </c>
      <c r="R80" s="78" t="str">
        <f t="shared" si="10"/>
        <v/>
      </c>
      <c r="S80" s="78" t="str">
        <f t="shared" si="11"/>
        <v/>
      </c>
      <c r="T80" s="78" t="str">
        <f t="shared" si="12"/>
        <v>-- 告示等識別区分1</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milscm_2023_010.azn_202310_backup_mt_shinryo_koi_fuka.kokuji_shikibetsu_kubun1 IS '告示等識別区分1';</v>
      </c>
    </row>
    <row r="81" spans="1:45" s="25" customFormat="1">
      <c r="A81" s="4"/>
      <c r="B81" s="21">
        <f t="shared" si="2"/>
        <v>69</v>
      </c>
      <c r="C81" s="6" t="s">
        <v>2288</v>
      </c>
      <c r="D81" s="6" t="s">
        <v>2289</v>
      </c>
      <c r="E81" s="8"/>
      <c r="F81" s="7" t="s">
        <v>1782</v>
      </c>
      <c r="G81" s="7" t="str">
        <f t="shared" si="7"/>
        <v>text</v>
      </c>
      <c r="H81" s="26"/>
      <c r="I81" s="10"/>
      <c r="J81" s="11"/>
      <c r="M81" s="4"/>
      <c r="N81" s="78"/>
      <c r="O81" s="78"/>
      <c r="P81" s="78" t="str">
        <f t="shared" si="8"/>
        <v>,kokuji_shikibetsu_kubun2</v>
      </c>
      <c r="Q81" s="78" t="str">
        <f t="shared" si="9"/>
        <v>TEXT</v>
      </c>
      <c r="R81" s="78" t="str">
        <f t="shared" si="10"/>
        <v/>
      </c>
      <c r="S81" s="78" t="str">
        <f t="shared" si="11"/>
        <v/>
      </c>
      <c r="T81" s="78" t="str">
        <f t="shared" si="12"/>
        <v>-- 告示等識別区分2</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milscm_2023_010.azn_202310_backup_mt_shinryo_koi_fuka.kokuji_shikibetsu_kubun2 IS '告示等識別区分2';</v>
      </c>
    </row>
    <row r="82" spans="1:45" s="25" customFormat="1">
      <c r="A82" s="4"/>
      <c r="B82" s="21">
        <f t="shared" si="2"/>
        <v>70</v>
      </c>
      <c r="C82" s="6" t="s">
        <v>2290</v>
      </c>
      <c r="D82" s="6" t="s">
        <v>2291</v>
      </c>
      <c r="E82" s="8"/>
      <c r="F82" s="7" t="s">
        <v>1782</v>
      </c>
      <c r="G82" s="7" t="str">
        <f t="shared" ref="G82:G145" si="13">IF(F82="フラグ","boolean",IF(F82="文字列","text",IF(F82="整数","integer",IF(F82="実数","numeric",""))))</f>
        <v>text</v>
      </c>
      <c r="H82" s="26"/>
      <c r="I82" s="10"/>
      <c r="J82" s="11"/>
      <c r="M82" s="4"/>
      <c r="N82" s="78"/>
      <c r="O82" s="78"/>
      <c r="P82" s="78" t="str">
        <f t="shared" ref="P82:P145" si="14">IF(B82&lt;&gt;1,","&amp;D82,D82)</f>
        <v>,chiiki_kasan</v>
      </c>
      <c r="Q82" s="78" t="str">
        <f t="shared" ref="Q82:Q145" si="15">UPPER(G82)</f>
        <v>TEXT</v>
      </c>
      <c r="R82" s="78" t="str">
        <f t="shared" ref="R82:R145" si="16">IF(H82&lt;&gt;"","default "&amp;IF(G82="text","'"&amp;H82&amp;"'",H82),"")</f>
        <v/>
      </c>
      <c r="S82" s="78" t="str">
        <f t="shared" ref="S82:S145" si="17">IF(I82="○","NOT NULL","")</f>
        <v/>
      </c>
      <c r="T82" s="78" t="str">
        <f t="shared" ref="T82:T145" si="18">"-- "&amp;C82</f>
        <v>-- 地域加算</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milscm_2023_010.azn_202310_backup_mt_shinryo_koi_fuka.chiiki_kasan IS '地域加算';</v>
      </c>
    </row>
    <row r="83" spans="1:45" s="25" customFormat="1">
      <c r="A83" s="4"/>
      <c r="B83" s="21">
        <f t="shared" si="2"/>
        <v>71</v>
      </c>
      <c r="C83" s="6" t="s">
        <v>2292</v>
      </c>
      <c r="D83" s="6" t="s">
        <v>2293</v>
      </c>
      <c r="E83" s="8"/>
      <c r="F83" s="7" t="s">
        <v>1782</v>
      </c>
      <c r="G83" s="7" t="str">
        <f t="shared" si="13"/>
        <v>text</v>
      </c>
      <c r="H83" s="26"/>
      <c r="I83" s="10"/>
      <c r="J83" s="11"/>
      <c r="M83" s="4"/>
      <c r="N83" s="78"/>
      <c r="O83" s="78"/>
      <c r="P83" s="78" t="str">
        <f t="shared" si="14"/>
        <v>,bed_su_kubun</v>
      </c>
      <c r="Q83" s="78" t="str">
        <f t="shared" si="15"/>
        <v>TEXT</v>
      </c>
      <c r="R83" s="78" t="str">
        <f t="shared" si="16"/>
        <v/>
      </c>
      <c r="S83" s="78" t="str">
        <f t="shared" si="17"/>
        <v/>
      </c>
      <c r="T83" s="78" t="str">
        <f t="shared" si="18"/>
        <v>-- 病床数区分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milscm_2023_010.azn_202310_backup_mt_shinryo_koi_fuka.bed_su_kubun IS '病床数区分';</v>
      </c>
    </row>
    <row r="84" spans="1:45" s="25" customFormat="1">
      <c r="A84" s="4"/>
      <c r="B84" s="21">
        <f t="shared" si="2"/>
        <v>72</v>
      </c>
      <c r="C84" s="6" t="s">
        <v>2294</v>
      </c>
      <c r="D84" s="6" t="s">
        <v>2295</v>
      </c>
      <c r="E84" s="8"/>
      <c r="F84" s="7" t="s">
        <v>1782</v>
      </c>
      <c r="G84" s="7" t="str">
        <f t="shared" si="13"/>
        <v>text</v>
      </c>
      <c r="H84" s="26"/>
      <c r="I84" s="10"/>
      <c r="J84" s="11"/>
      <c r="M84" s="4"/>
      <c r="N84" s="78"/>
      <c r="O84" s="78"/>
      <c r="P84" s="78" t="str">
        <f t="shared" si="14"/>
        <v>,facility_kijun_code1</v>
      </c>
      <c r="Q84" s="78" t="str">
        <f t="shared" si="15"/>
        <v>TEXT</v>
      </c>
      <c r="R84" s="78" t="str">
        <f t="shared" si="16"/>
        <v/>
      </c>
      <c r="S84" s="78" t="str">
        <f t="shared" si="17"/>
        <v/>
      </c>
      <c r="T84" s="78" t="str">
        <f t="shared" si="18"/>
        <v>-- 施設基準コード1</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milscm_2023_010.azn_202310_backup_mt_shinryo_koi_fuka.facility_kijun_code1 IS '施設基準コード1';</v>
      </c>
    </row>
    <row r="85" spans="1:45" s="25" customFormat="1">
      <c r="A85" s="4"/>
      <c r="B85" s="21">
        <f t="shared" si="2"/>
        <v>73</v>
      </c>
      <c r="C85" s="6" t="s">
        <v>2296</v>
      </c>
      <c r="D85" s="6" t="s">
        <v>2297</v>
      </c>
      <c r="E85" s="8"/>
      <c r="F85" s="7" t="s">
        <v>1782</v>
      </c>
      <c r="G85" s="7" t="str">
        <f t="shared" si="13"/>
        <v>text</v>
      </c>
      <c r="H85" s="26"/>
      <c r="I85" s="10"/>
      <c r="J85" s="11"/>
      <c r="M85" s="4"/>
      <c r="N85" s="78"/>
      <c r="O85" s="78"/>
      <c r="P85" s="78" t="str">
        <f t="shared" si="14"/>
        <v>,facility_kijun_code2</v>
      </c>
      <c r="Q85" s="78" t="str">
        <f t="shared" si="15"/>
        <v>TEXT</v>
      </c>
      <c r="R85" s="78" t="str">
        <f t="shared" si="16"/>
        <v/>
      </c>
      <c r="S85" s="78" t="str">
        <f t="shared" si="17"/>
        <v/>
      </c>
      <c r="T85" s="78" t="str">
        <f t="shared" si="18"/>
        <v>-- 施設基準コード2</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milscm_2023_010.azn_202310_backup_mt_shinryo_koi_fuka.facility_kijun_code2 IS '施設基準コード2';</v>
      </c>
    </row>
    <row r="86" spans="1:45" s="25" customFormat="1">
      <c r="A86" s="4"/>
      <c r="B86" s="21">
        <f t="shared" si="2"/>
        <v>74</v>
      </c>
      <c r="C86" s="6" t="s">
        <v>2298</v>
      </c>
      <c r="D86" s="6" t="s">
        <v>2299</v>
      </c>
      <c r="E86" s="8"/>
      <c r="F86" s="7" t="s">
        <v>1782</v>
      </c>
      <c r="G86" s="7" t="str">
        <f t="shared" si="13"/>
        <v>text</v>
      </c>
      <c r="H86" s="26"/>
      <c r="I86" s="10"/>
      <c r="J86" s="11"/>
      <c r="M86" s="4"/>
      <c r="N86" s="78"/>
      <c r="O86" s="78"/>
      <c r="P86" s="78" t="str">
        <f t="shared" si="14"/>
        <v>,facility_kijun_code3</v>
      </c>
      <c r="Q86" s="78" t="str">
        <f t="shared" si="15"/>
        <v>TEXT</v>
      </c>
      <c r="R86" s="78" t="str">
        <f t="shared" si="16"/>
        <v/>
      </c>
      <c r="S86" s="78" t="str">
        <f t="shared" si="17"/>
        <v/>
      </c>
      <c r="T86" s="78" t="str">
        <f t="shared" si="18"/>
        <v>-- 施設基準コード3</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milscm_2023_010.azn_202310_backup_mt_shinryo_koi_fuka.facility_kijun_code3 IS '施設基準コード3';</v>
      </c>
    </row>
    <row r="87" spans="1:45" s="25" customFormat="1">
      <c r="A87" s="4"/>
      <c r="B87" s="21">
        <f t="shared" si="2"/>
        <v>75</v>
      </c>
      <c r="C87" s="6" t="s">
        <v>2300</v>
      </c>
      <c r="D87" s="6" t="s">
        <v>2301</v>
      </c>
      <c r="E87" s="8"/>
      <c r="F87" s="7" t="s">
        <v>1782</v>
      </c>
      <c r="G87" s="7" t="str">
        <f t="shared" si="13"/>
        <v>text</v>
      </c>
      <c r="H87" s="26"/>
      <c r="I87" s="10"/>
      <c r="J87" s="11"/>
      <c r="M87" s="4"/>
      <c r="N87" s="78"/>
      <c r="O87" s="78"/>
      <c r="P87" s="78" t="str">
        <f t="shared" si="14"/>
        <v>,facility_kijun_code4</v>
      </c>
      <c r="Q87" s="78" t="str">
        <f t="shared" si="15"/>
        <v>TEXT</v>
      </c>
      <c r="R87" s="78" t="str">
        <f t="shared" si="16"/>
        <v/>
      </c>
      <c r="S87" s="78" t="str">
        <f t="shared" si="17"/>
        <v/>
      </c>
      <c r="T87" s="78" t="str">
        <f t="shared" si="18"/>
        <v>-- 施設基準コード4</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milscm_2023_010.azn_202310_backup_mt_shinryo_koi_fuka.facility_kijun_code4 IS '施設基準コード4';</v>
      </c>
    </row>
    <row r="88" spans="1:45" s="25" customFormat="1">
      <c r="A88" s="4"/>
      <c r="B88" s="21">
        <f t="shared" si="2"/>
        <v>76</v>
      </c>
      <c r="C88" s="6" t="s">
        <v>2302</v>
      </c>
      <c r="D88" s="6" t="s">
        <v>2303</v>
      </c>
      <c r="E88" s="8"/>
      <c r="F88" s="7" t="s">
        <v>1782</v>
      </c>
      <c r="G88" s="7" t="str">
        <f t="shared" si="13"/>
        <v>text</v>
      </c>
      <c r="H88" s="26"/>
      <c r="I88" s="10"/>
      <c r="J88" s="11"/>
      <c r="M88" s="4"/>
      <c r="N88" s="78"/>
      <c r="O88" s="78"/>
      <c r="P88" s="78" t="str">
        <f t="shared" si="14"/>
        <v>,facility_kijun_code5</v>
      </c>
      <c r="Q88" s="78" t="str">
        <f t="shared" si="15"/>
        <v>TEXT</v>
      </c>
      <c r="R88" s="78" t="str">
        <f t="shared" si="16"/>
        <v/>
      </c>
      <c r="S88" s="78" t="str">
        <f t="shared" si="17"/>
        <v/>
      </c>
      <c r="T88" s="78" t="str">
        <f t="shared" si="18"/>
        <v>-- 施設基準コード5</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milscm_2023_010.azn_202310_backup_mt_shinryo_koi_fuka.facility_kijun_code5 IS '施設基準コード5';</v>
      </c>
    </row>
    <row r="89" spans="1:45" s="25" customFormat="1">
      <c r="A89" s="4"/>
      <c r="B89" s="21">
        <f t="shared" si="2"/>
        <v>77</v>
      </c>
      <c r="C89" s="6" t="s">
        <v>2304</v>
      </c>
      <c r="D89" s="6" t="s">
        <v>2305</v>
      </c>
      <c r="E89" s="8"/>
      <c r="F89" s="7" t="s">
        <v>1782</v>
      </c>
      <c r="G89" s="7" t="str">
        <f t="shared" si="13"/>
        <v>text</v>
      </c>
      <c r="H89" s="26"/>
      <c r="I89" s="10"/>
      <c r="J89" s="11"/>
      <c r="M89" s="4"/>
      <c r="N89" s="78"/>
      <c r="O89" s="78"/>
      <c r="P89" s="78" t="str">
        <f t="shared" si="14"/>
        <v>,facility_kijun_code6</v>
      </c>
      <c r="Q89" s="78" t="str">
        <f t="shared" si="15"/>
        <v>TEXT</v>
      </c>
      <c r="R89" s="78" t="str">
        <f t="shared" si="16"/>
        <v/>
      </c>
      <c r="S89" s="78" t="str">
        <f t="shared" si="17"/>
        <v/>
      </c>
      <c r="T89" s="78" t="str">
        <f t="shared" si="18"/>
        <v>-- 施設基準コード6</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milscm_2023_010.azn_202310_backup_mt_shinryo_koi_fuka.facility_kijun_code6 IS '施設基準コード6';</v>
      </c>
    </row>
    <row r="90" spans="1:45" s="25" customFormat="1">
      <c r="A90" s="4"/>
      <c r="B90" s="21">
        <f t="shared" si="2"/>
        <v>78</v>
      </c>
      <c r="C90" s="6" t="s">
        <v>2306</v>
      </c>
      <c r="D90" s="6" t="s">
        <v>2307</v>
      </c>
      <c r="E90" s="8"/>
      <c r="F90" s="7" t="s">
        <v>1782</v>
      </c>
      <c r="G90" s="7" t="str">
        <f t="shared" si="13"/>
        <v>text</v>
      </c>
      <c r="H90" s="26"/>
      <c r="I90" s="10"/>
      <c r="J90" s="11"/>
      <c r="M90" s="4"/>
      <c r="N90" s="78"/>
      <c r="O90" s="78"/>
      <c r="P90" s="78" t="str">
        <f t="shared" si="14"/>
        <v>,facility_kijun_code7</v>
      </c>
      <c r="Q90" s="78" t="str">
        <f t="shared" si="15"/>
        <v>TEXT</v>
      </c>
      <c r="R90" s="78" t="str">
        <f t="shared" si="16"/>
        <v/>
      </c>
      <c r="S90" s="78" t="str">
        <f t="shared" si="17"/>
        <v/>
      </c>
      <c r="T90" s="78" t="str">
        <f t="shared" si="18"/>
        <v>-- 施設基準コード7</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milscm_2023_010.azn_202310_backup_mt_shinryo_koi_fuka.facility_kijun_code7 IS '施設基準コード7';</v>
      </c>
    </row>
    <row r="91" spans="1:45" s="25" customFormat="1">
      <c r="A91" s="4"/>
      <c r="B91" s="21">
        <f t="shared" si="2"/>
        <v>79</v>
      </c>
      <c r="C91" s="6" t="s">
        <v>2308</v>
      </c>
      <c r="D91" s="6" t="s">
        <v>2309</v>
      </c>
      <c r="E91" s="8"/>
      <c r="F91" s="7" t="s">
        <v>1782</v>
      </c>
      <c r="G91" s="7" t="str">
        <f t="shared" si="13"/>
        <v>text</v>
      </c>
      <c r="H91" s="26"/>
      <c r="I91" s="10"/>
      <c r="J91" s="11"/>
      <c r="M91" s="4"/>
      <c r="N91" s="78"/>
      <c r="O91" s="78"/>
      <c r="P91" s="78" t="str">
        <f t="shared" si="14"/>
        <v>,facility_kijun_code8</v>
      </c>
      <c r="Q91" s="78" t="str">
        <f t="shared" si="15"/>
        <v>TEXT</v>
      </c>
      <c r="R91" s="78" t="str">
        <f t="shared" si="16"/>
        <v/>
      </c>
      <c r="S91" s="78" t="str">
        <f t="shared" si="17"/>
        <v/>
      </c>
      <c r="T91" s="78" t="str">
        <f t="shared" si="18"/>
        <v>-- 施設基準コード8</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milscm_2023_010.azn_202310_backup_mt_shinryo_koi_fuka.facility_kijun_code8 IS '施設基準コード8';</v>
      </c>
    </row>
    <row r="92" spans="1:45" s="25" customFormat="1">
      <c r="A92" s="4"/>
      <c r="B92" s="21">
        <f t="shared" si="2"/>
        <v>80</v>
      </c>
      <c r="C92" s="6" t="s">
        <v>2310</v>
      </c>
      <c r="D92" s="6" t="s">
        <v>2311</v>
      </c>
      <c r="E92" s="8"/>
      <c r="F92" s="7" t="s">
        <v>1782</v>
      </c>
      <c r="G92" s="7" t="str">
        <f t="shared" si="13"/>
        <v>text</v>
      </c>
      <c r="H92" s="26"/>
      <c r="I92" s="10"/>
      <c r="J92" s="11"/>
      <c r="M92" s="4"/>
      <c r="N92" s="78"/>
      <c r="O92" s="78"/>
      <c r="P92" s="78" t="str">
        <f t="shared" si="14"/>
        <v>,facility_kijun_code9</v>
      </c>
      <c r="Q92" s="78" t="str">
        <f t="shared" si="15"/>
        <v>TEXT</v>
      </c>
      <c r="R92" s="78" t="str">
        <f t="shared" si="16"/>
        <v/>
      </c>
      <c r="S92" s="78" t="str">
        <f t="shared" si="17"/>
        <v/>
      </c>
      <c r="T92" s="78" t="str">
        <f t="shared" si="18"/>
        <v>-- 施設基準コード9</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milscm_2023_010.azn_202310_backup_mt_shinryo_koi_fuka.facility_kijun_code9 IS '施設基準コード9';</v>
      </c>
    </row>
    <row r="93" spans="1:45" s="25" customFormat="1">
      <c r="A93" s="4"/>
      <c r="B93" s="21">
        <f t="shared" si="2"/>
        <v>81</v>
      </c>
      <c r="C93" s="6" t="s">
        <v>2312</v>
      </c>
      <c r="D93" s="6" t="s">
        <v>2313</v>
      </c>
      <c r="E93" s="8"/>
      <c r="F93" s="7" t="s">
        <v>1782</v>
      </c>
      <c r="G93" s="7" t="str">
        <f t="shared" si="13"/>
        <v>text</v>
      </c>
      <c r="H93" s="26"/>
      <c r="I93" s="10"/>
      <c r="J93" s="11"/>
      <c r="M93" s="4"/>
      <c r="N93" s="78"/>
      <c r="O93" s="78"/>
      <c r="P93" s="78" t="str">
        <f t="shared" si="14"/>
        <v>,facility_kijun_code10</v>
      </c>
      <c r="Q93" s="78" t="str">
        <f t="shared" si="15"/>
        <v>TEXT</v>
      </c>
      <c r="R93" s="78" t="str">
        <f t="shared" si="16"/>
        <v/>
      </c>
      <c r="S93" s="78" t="str">
        <f t="shared" si="17"/>
        <v/>
      </c>
      <c r="T93" s="78" t="str">
        <f t="shared" si="18"/>
        <v>-- 施設基準コード10</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milscm_2023_010.azn_202310_backup_mt_shinryo_koi_fuka.facility_kijun_code10 IS '施設基準コード10';</v>
      </c>
    </row>
    <row r="94" spans="1:45" s="25" customFormat="1" ht="31.5">
      <c r="A94" s="4"/>
      <c r="B94" s="21">
        <f t="shared" si="2"/>
        <v>82</v>
      </c>
      <c r="C94" s="6" t="s">
        <v>2314</v>
      </c>
      <c r="D94" s="6" t="s">
        <v>2315</v>
      </c>
      <c r="E94" s="8"/>
      <c r="F94" s="7" t="s">
        <v>1782</v>
      </c>
      <c r="G94" s="7" t="str">
        <f t="shared" si="13"/>
        <v>text</v>
      </c>
      <c r="H94" s="26"/>
      <c r="I94" s="10"/>
      <c r="J94" s="11"/>
      <c r="M94" s="4"/>
      <c r="N94" s="78"/>
      <c r="O94" s="78"/>
      <c r="P94" s="78" t="str">
        <f t="shared" si="14"/>
        <v>,choonpa_sekkai_kasan_kubun</v>
      </c>
      <c r="Q94" s="78" t="str">
        <f t="shared" si="15"/>
        <v>TEXT</v>
      </c>
      <c r="R94" s="78" t="str">
        <f t="shared" si="16"/>
        <v/>
      </c>
      <c r="S94" s="78" t="str">
        <f t="shared" si="17"/>
        <v/>
      </c>
      <c r="T94" s="78" t="str">
        <f t="shared" si="18"/>
        <v>-- 超音波凝固切開装置等加算区分</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milscm_2023_010.azn_202310_backup_mt_shinryo_koi_fuka.choonpa_sekkai_kasan_kubun IS '超音波凝固切開装置等加算区分';</v>
      </c>
    </row>
    <row r="95" spans="1:45" s="25" customFormat="1">
      <c r="A95" s="4"/>
      <c r="B95" s="21">
        <f t="shared" si="2"/>
        <v>83</v>
      </c>
      <c r="C95" s="6" t="s">
        <v>2316</v>
      </c>
      <c r="D95" s="6" t="s">
        <v>2317</v>
      </c>
      <c r="E95" s="8"/>
      <c r="F95" s="7" t="s">
        <v>1782</v>
      </c>
      <c r="G95" s="7" t="str">
        <f t="shared" si="13"/>
        <v>text</v>
      </c>
      <c r="H95" s="26"/>
      <c r="I95" s="10"/>
      <c r="J95" s="11"/>
      <c r="M95" s="4"/>
      <c r="N95" s="78"/>
      <c r="O95" s="78"/>
      <c r="P95" s="78" t="str">
        <f t="shared" si="14"/>
        <v>,tanki_shujutsu</v>
      </c>
      <c r="Q95" s="78" t="str">
        <f t="shared" si="15"/>
        <v>TEXT</v>
      </c>
      <c r="R95" s="78" t="str">
        <f t="shared" si="16"/>
        <v/>
      </c>
      <c r="S95" s="78" t="str">
        <f t="shared" si="17"/>
        <v/>
      </c>
      <c r="T95" s="78" t="str">
        <f t="shared" si="18"/>
        <v>-- 短期滞在手術</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milscm_2023_010.azn_202310_backup_mt_shinryo_koi_fuka.tanki_shujutsu IS '短期滞在手術';</v>
      </c>
    </row>
    <row r="96" spans="1:45" s="25" customFormat="1">
      <c r="A96" s="4"/>
      <c r="B96" s="21">
        <f t="shared" si="2"/>
        <v>84</v>
      </c>
      <c r="C96" s="6" t="s">
        <v>2318</v>
      </c>
      <c r="D96" s="6" t="s">
        <v>2319</v>
      </c>
      <c r="E96" s="8"/>
      <c r="F96" s="7" t="s">
        <v>1782</v>
      </c>
      <c r="G96" s="7" t="str">
        <f t="shared" si="13"/>
        <v>text</v>
      </c>
      <c r="H96" s="26"/>
      <c r="I96" s="10"/>
      <c r="J96" s="11"/>
      <c r="M96" s="4"/>
      <c r="N96" s="78"/>
      <c r="O96" s="78"/>
      <c r="P96" s="78" t="str">
        <f t="shared" si="14"/>
        <v>,shika_tekiyo_kubun</v>
      </c>
      <c r="Q96" s="78" t="str">
        <f t="shared" si="15"/>
        <v>TEXT</v>
      </c>
      <c r="R96" s="78" t="str">
        <f t="shared" si="16"/>
        <v/>
      </c>
      <c r="S96" s="78" t="str">
        <f t="shared" si="17"/>
        <v/>
      </c>
      <c r="T96" s="78" t="str">
        <f t="shared" si="18"/>
        <v>-- 歯科適用区分</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milscm_2023_010.azn_202310_backup_mt_shinryo_koi_fuka.shika_tekiyo_kubun IS '歯科適用区分';</v>
      </c>
    </row>
    <row r="97" spans="1:45" s="25" customFormat="1">
      <c r="A97" s="4"/>
      <c r="B97" s="21">
        <f t="shared" si="2"/>
        <v>85</v>
      </c>
      <c r="C97" s="6" t="s">
        <v>2320</v>
      </c>
      <c r="D97" s="6" t="s">
        <v>2321</v>
      </c>
      <c r="E97" s="8"/>
      <c r="F97" s="7" t="s">
        <v>1782</v>
      </c>
      <c r="G97" s="7" t="str">
        <f t="shared" si="13"/>
        <v>text</v>
      </c>
      <c r="H97" s="26"/>
      <c r="I97" s="10"/>
      <c r="J97" s="11"/>
      <c r="M97" s="4"/>
      <c r="N97" s="78"/>
      <c r="O97" s="78"/>
      <c r="P97" s="78" t="str">
        <f t="shared" si="14"/>
        <v>,code_table_alphabet</v>
      </c>
      <c r="Q97" s="78" t="str">
        <f t="shared" si="15"/>
        <v>TEXT</v>
      </c>
      <c r="R97" s="78" t="str">
        <f t="shared" si="16"/>
        <v/>
      </c>
      <c r="S97" s="78" t="str">
        <f t="shared" si="17"/>
        <v/>
      </c>
      <c r="T97" s="78" t="str">
        <f t="shared" si="18"/>
        <v>-- コード表用番号（アルファベット部）</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milscm_2023_010.azn_202310_backup_mt_shinryo_koi_fuka.code_table_alphabet IS 'コード表用番号（アルファベット部）';</v>
      </c>
    </row>
    <row r="98" spans="1:45" s="25" customFormat="1" ht="31.5">
      <c r="A98" s="4"/>
      <c r="B98" s="21">
        <f t="shared" si="2"/>
        <v>86</v>
      </c>
      <c r="C98" s="6" t="s">
        <v>2322</v>
      </c>
      <c r="D98" s="6" t="s">
        <v>2323</v>
      </c>
      <c r="E98" s="8"/>
      <c r="F98" s="7" t="s">
        <v>1782</v>
      </c>
      <c r="G98" s="7" t="str">
        <f t="shared" si="13"/>
        <v>text</v>
      </c>
      <c r="H98" s="26"/>
      <c r="I98" s="10"/>
      <c r="J98" s="11"/>
      <c r="M98" s="4"/>
      <c r="N98" s="78"/>
      <c r="O98" s="78"/>
      <c r="P98" s="78" t="str">
        <f t="shared" si="14"/>
        <v>,kokuji_kanren_no_alphabet</v>
      </c>
      <c r="Q98" s="78" t="str">
        <f t="shared" si="15"/>
        <v>TEXT</v>
      </c>
      <c r="R98" s="78" t="str">
        <f t="shared" si="16"/>
        <v/>
      </c>
      <c r="S98" s="78" t="str">
        <f t="shared" si="17"/>
        <v/>
      </c>
      <c r="T98" s="78" t="str">
        <f t="shared" si="18"/>
        <v>-- 告示・通知関連番号（アルファベット部）</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milscm_2023_010.azn_202310_backup_mt_shinryo_koi_fuka.kokuji_kanren_no_alphabet IS '告示・通知関連番号（アルファベット部）';</v>
      </c>
    </row>
    <row r="99" spans="1:45" s="25" customFormat="1">
      <c r="A99" s="4"/>
      <c r="B99" s="21">
        <f t="shared" si="2"/>
        <v>87</v>
      </c>
      <c r="C99" s="6" t="s">
        <v>2012</v>
      </c>
      <c r="D99" s="6" t="s">
        <v>2013</v>
      </c>
      <c r="E99" s="8"/>
      <c r="F99" s="7" t="s">
        <v>1782</v>
      </c>
      <c r="G99" s="7" t="str">
        <f t="shared" si="13"/>
        <v>text</v>
      </c>
      <c r="H99" s="26"/>
      <c r="I99" s="10"/>
      <c r="J99" s="11" t="s">
        <v>144</v>
      </c>
      <c r="M99" s="4"/>
      <c r="N99" s="78"/>
      <c r="O99" s="78"/>
      <c r="P99" s="78" t="str">
        <f t="shared" si="14"/>
        <v>,henko_ymd</v>
      </c>
      <c r="Q99" s="78" t="str">
        <f t="shared" si="15"/>
        <v>TEXT</v>
      </c>
      <c r="R99" s="78" t="str">
        <f t="shared" si="16"/>
        <v/>
      </c>
      <c r="S99" s="78" t="str">
        <f t="shared" si="17"/>
        <v/>
      </c>
      <c r="T99" s="78" t="str">
        <f t="shared" si="18"/>
        <v>-- 変更年月日</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milscm_2023_010.azn_202310_backup_mt_shinryo_koi_fuka.henko_ymd IS '変更年月日';</v>
      </c>
    </row>
    <row r="100" spans="1:45" s="25" customFormat="1">
      <c r="A100" s="4"/>
      <c r="B100" s="21">
        <f t="shared" si="2"/>
        <v>88</v>
      </c>
      <c r="C100" s="6" t="s">
        <v>1952</v>
      </c>
      <c r="D100" s="6" t="s">
        <v>2014</v>
      </c>
      <c r="E100" s="8"/>
      <c r="F100" s="7" t="s">
        <v>1782</v>
      </c>
      <c r="G100" s="7" t="str">
        <f t="shared" si="13"/>
        <v>text</v>
      </c>
      <c r="H100" s="26"/>
      <c r="I100" s="10"/>
      <c r="J100" s="11" t="s">
        <v>2442</v>
      </c>
      <c r="M100" s="4"/>
      <c r="N100" s="78"/>
      <c r="O100" s="78"/>
      <c r="P100" s="78" t="str">
        <f t="shared" si="14"/>
        <v>,haishi_ymd</v>
      </c>
      <c r="Q100" s="78" t="str">
        <f t="shared" si="15"/>
        <v>TEXT</v>
      </c>
      <c r="R100" s="78" t="str">
        <f t="shared" si="16"/>
        <v/>
      </c>
      <c r="S100" s="78" t="str">
        <f t="shared" si="17"/>
        <v/>
      </c>
      <c r="T100" s="78" t="str">
        <f t="shared" si="18"/>
        <v>-- 廃止年月日</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milscm_2023_010.azn_202310_backup_mt_shinryo_koi_fuka.haishi_ymd IS '廃止年月日';</v>
      </c>
    </row>
    <row r="101" spans="1:45" s="25" customFormat="1">
      <c r="A101" s="4"/>
      <c r="B101" s="21">
        <f t="shared" si="2"/>
        <v>89</v>
      </c>
      <c r="C101" s="6" t="s">
        <v>2062</v>
      </c>
      <c r="D101" s="6" t="s">
        <v>2324</v>
      </c>
      <c r="E101" s="8"/>
      <c r="F101" s="7" t="s">
        <v>1782</v>
      </c>
      <c r="G101" s="7" t="str">
        <f t="shared" si="13"/>
        <v>text</v>
      </c>
      <c r="H101" s="26"/>
      <c r="I101" s="10"/>
      <c r="J101" s="11"/>
      <c r="M101" s="4"/>
      <c r="N101" s="78"/>
      <c r="O101" s="78"/>
      <c r="P101" s="78" t="str">
        <f t="shared" si="14"/>
        <v>,kohyo_junjo_no</v>
      </c>
      <c r="Q101" s="78" t="str">
        <f t="shared" si="15"/>
        <v>TEXT</v>
      </c>
      <c r="R101" s="78" t="str">
        <f t="shared" si="16"/>
        <v/>
      </c>
      <c r="S101" s="78" t="str">
        <f t="shared" si="17"/>
        <v/>
      </c>
      <c r="T101" s="78" t="str">
        <f t="shared" si="18"/>
        <v>-- 公表順序番号</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milscm_2023_010.azn_202310_backup_mt_shinryo_koi_fuka.kohyo_junjo_no IS '公表順序番号';</v>
      </c>
    </row>
    <row r="102" spans="1:45" s="25" customFormat="1">
      <c r="A102" s="4"/>
      <c r="B102" s="21">
        <f t="shared" si="2"/>
        <v>90</v>
      </c>
      <c r="C102" s="6" t="s">
        <v>2325</v>
      </c>
      <c r="D102" s="6" t="s">
        <v>2326</v>
      </c>
      <c r="E102" s="8"/>
      <c r="F102" s="7" t="s">
        <v>1782</v>
      </c>
      <c r="G102" s="7" t="str">
        <f t="shared" si="13"/>
        <v>text</v>
      </c>
      <c r="H102" s="26"/>
      <c r="I102" s="10"/>
      <c r="J102" s="11"/>
      <c r="M102" s="4"/>
      <c r="N102" s="78"/>
      <c r="O102" s="78"/>
      <c r="P102" s="78" t="str">
        <f t="shared" si="14"/>
        <v>,code_table_no_sho</v>
      </c>
      <c r="Q102" s="78" t="str">
        <f t="shared" si="15"/>
        <v>TEXT</v>
      </c>
      <c r="R102" s="78" t="str">
        <f t="shared" si="16"/>
        <v/>
      </c>
      <c r="S102" s="78" t="str">
        <f t="shared" si="17"/>
        <v/>
      </c>
      <c r="T102" s="78" t="str">
        <f t="shared" si="18"/>
        <v xml:space="preserve">-- コード表用番号_章 </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milscm_2023_010.azn_202310_backup_mt_shinryo_koi_fuka.code_table_no_sho IS 'コード表用番号_章 ';</v>
      </c>
    </row>
    <row r="103" spans="1:45" s="25" customFormat="1">
      <c r="A103" s="4"/>
      <c r="B103" s="21">
        <f t="shared" si="2"/>
        <v>91</v>
      </c>
      <c r="C103" s="6" t="s">
        <v>2327</v>
      </c>
      <c r="D103" s="6" t="s">
        <v>2328</v>
      </c>
      <c r="E103" s="8"/>
      <c r="F103" s="7" t="s">
        <v>1782</v>
      </c>
      <c r="G103" s="7" t="str">
        <f t="shared" si="13"/>
        <v>text</v>
      </c>
      <c r="H103" s="26"/>
      <c r="I103" s="10"/>
      <c r="J103" s="11"/>
      <c r="M103" s="4"/>
      <c r="N103" s="78"/>
      <c r="O103" s="78"/>
      <c r="P103" s="78" t="str">
        <f t="shared" si="14"/>
        <v>,code_table_no_bu</v>
      </c>
      <c r="Q103" s="78" t="str">
        <f t="shared" si="15"/>
        <v>TEXT</v>
      </c>
      <c r="R103" s="78" t="str">
        <f t="shared" si="16"/>
        <v/>
      </c>
      <c r="S103" s="78" t="str">
        <f t="shared" si="17"/>
        <v/>
      </c>
      <c r="T103" s="78" t="str">
        <f t="shared" si="18"/>
        <v>-- コード表用番号_部</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milscm_2023_010.azn_202310_backup_mt_shinryo_koi_fuka.code_table_no_bu IS 'コード表用番号_部';</v>
      </c>
    </row>
    <row r="104" spans="1:45" s="25" customFormat="1">
      <c r="A104" s="4"/>
      <c r="B104" s="21">
        <f t="shared" si="2"/>
        <v>92</v>
      </c>
      <c r="C104" s="6" t="s">
        <v>2329</v>
      </c>
      <c r="D104" s="6" t="s">
        <v>2330</v>
      </c>
      <c r="E104" s="8"/>
      <c r="F104" s="7" t="s">
        <v>1782</v>
      </c>
      <c r="G104" s="7" t="str">
        <f t="shared" si="13"/>
        <v>text</v>
      </c>
      <c r="H104" s="26"/>
      <c r="I104" s="10"/>
      <c r="J104" s="11"/>
      <c r="M104" s="4"/>
      <c r="N104" s="78"/>
      <c r="O104" s="78"/>
      <c r="P104" s="78" t="str">
        <f t="shared" si="14"/>
        <v>,code_table_no_kubun</v>
      </c>
      <c r="Q104" s="78" t="str">
        <f t="shared" si="15"/>
        <v>TEXT</v>
      </c>
      <c r="R104" s="78" t="str">
        <f t="shared" si="16"/>
        <v/>
      </c>
      <c r="S104" s="78" t="str">
        <f t="shared" si="17"/>
        <v/>
      </c>
      <c r="T104" s="78" t="str">
        <f t="shared" si="18"/>
        <v>-- コード表用番号_区分番号</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milscm_2023_010.azn_202310_backup_mt_shinryo_koi_fuka.code_table_no_kubun IS 'コード表用番号_区分番号';</v>
      </c>
    </row>
    <row r="105" spans="1:45" s="25" customFormat="1">
      <c r="A105" s="4"/>
      <c r="B105" s="21">
        <f t="shared" si="2"/>
        <v>93</v>
      </c>
      <c r="C105" s="6" t="s">
        <v>2331</v>
      </c>
      <c r="D105" s="6" t="s">
        <v>2332</v>
      </c>
      <c r="E105" s="8"/>
      <c r="F105" s="7" t="s">
        <v>1782</v>
      </c>
      <c r="G105" s="7" t="str">
        <f t="shared" si="13"/>
        <v>text</v>
      </c>
      <c r="H105" s="26"/>
      <c r="I105" s="10"/>
      <c r="J105" s="11"/>
      <c r="M105" s="4"/>
      <c r="N105" s="78"/>
      <c r="O105" s="78"/>
      <c r="P105" s="78" t="str">
        <f t="shared" si="14"/>
        <v>,code_table_no_edaban</v>
      </c>
      <c r="Q105" s="78" t="str">
        <f t="shared" si="15"/>
        <v>TEXT</v>
      </c>
      <c r="R105" s="78" t="str">
        <f t="shared" si="16"/>
        <v/>
      </c>
      <c r="S105" s="78" t="str">
        <f t="shared" si="17"/>
        <v/>
      </c>
      <c r="T105" s="78" t="str">
        <f t="shared" si="18"/>
        <v>-- コード表用番号_枝番</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milscm_2023_010.azn_202310_backup_mt_shinryo_koi_fuka.code_table_no_edaban IS 'コード表用番号_枝番';</v>
      </c>
    </row>
    <row r="106" spans="1:45" s="25" customFormat="1">
      <c r="A106" s="4"/>
      <c r="B106" s="21">
        <f t="shared" si="2"/>
        <v>94</v>
      </c>
      <c r="C106" s="6" t="s">
        <v>2333</v>
      </c>
      <c r="D106" s="6" t="s">
        <v>2334</v>
      </c>
      <c r="E106" s="8"/>
      <c r="F106" s="7" t="s">
        <v>1782</v>
      </c>
      <c r="G106" s="7" t="str">
        <f t="shared" si="13"/>
        <v>text</v>
      </c>
      <c r="H106" s="26"/>
      <c r="I106" s="10"/>
      <c r="J106" s="11"/>
      <c r="M106" s="4"/>
      <c r="N106" s="78"/>
      <c r="O106" s="78"/>
      <c r="P106" s="78" t="str">
        <f t="shared" si="14"/>
        <v>,code_table_no_koban</v>
      </c>
      <c r="Q106" s="78" t="str">
        <f t="shared" si="15"/>
        <v>TEXT</v>
      </c>
      <c r="R106" s="78" t="str">
        <f t="shared" si="16"/>
        <v/>
      </c>
      <c r="S106" s="78" t="str">
        <f t="shared" si="17"/>
        <v/>
      </c>
      <c r="T106" s="78" t="str">
        <f t="shared" si="18"/>
        <v>-- コード表用番号_項番</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milscm_2023_010.azn_202310_backup_mt_shinryo_koi_fuka.code_table_no_koban IS 'コード表用番号_項番';</v>
      </c>
    </row>
    <row r="107" spans="1:45" s="25" customFormat="1">
      <c r="A107" s="4"/>
      <c r="B107" s="21">
        <f t="shared" si="2"/>
        <v>95</v>
      </c>
      <c r="C107" s="6" t="s">
        <v>2335</v>
      </c>
      <c r="D107" s="6" t="s">
        <v>2336</v>
      </c>
      <c r="E107" s="8"/>
      <c r="F107" s="7" t="s">
        <v>1782</v>
      </c>
      <c r="G107" s="7" t="str">
        <f t="shared" si="13"/>
        <v>text</v>
      </c>
      <c r="H107" s="26"/>
      <c r="I107" s="10"/>
      <c r="J107" s="11"/>
      <c r="M107" s="4"/>
      <c r="N107" s="78"/>
      <c r="O107" s="78"/>
      <c r="P107" s="78" t="str">
        <f t="shared" si="14"/>
        <v>,kokuji_kanren_no_sho</v>
      </c>
      <c r="Q107" s="78" t="str">
        <f t="shared" si="15"/>
        <v>TEXT</v>
      </c>
      <c r="R107" s="78" t="str">
        <f t="shared" si="16"/>
        <v/>
      </c>
      <c r="S107" s="78" t="str">
        <f t="shared" si="17"/>
        <v/>
      </c>
      <c r="T107" s="78" t="str">
        <f t="shared" si="18"/>
        <v xml:space="preserve">-- 告示・通知関連番号_章 </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milscm_2023_010.azn_202310_backup_mt_shinryo_koi_fuka.kokuji_kanren_no_sho IS '告示・通知関連番号_章 ';</v>
      </c>
    </row>
    <row r="108" spans="1:45" s="25" customFormat="1">
      <c r="A108" s="4"/>
      <c r="B108" s="21">
        <f t="shared" si="2"/>
        <v>96</v>
      </c>
      <c r="C108" s="6" t="s">
        <v>2337</v>
      </c>
      <c r="D108" s="6" t="s">
        <v>2338</v>
      </c>
      <c r="E108" s="8"/>
      <c r="F108" s="7" t="s">
        <v>1782</v>
      </c>
      <c r="G108" s="7" t="str">
        <f t="shared" si="13"/>
        <v>text</v>
      </c>
      <c r="H108" s="26"/>
      <c r="I108" s="10"/>
      <c r="J108" s="11"/>
      <c r="M108" s="4"/>
      <c r="N108" s="78"/>
      <c r="O108" s="78"/>
      <c r="P108" s="78" t="str">
        <f t="shared" si="14"/>
        <v>,kokuji_kanren_no_bu</v>
      </c>
      <c r="Q108" s="78" t="str">
        <f t="shared" si="15"/>
        <v>TEXT</v>
      </c>
      <c r="R108" s="78" t="str">
        <f t="shared" si="16"/>
        <v/>
      </c>
      <c r="S108" s="78" t="str">
        <f t="shared" si="17"/>
        <v/>
      </c>
      <c r="T108" s="78" t="str">
        <f t="shared" si="18"/>
        <v>-- 告示・通知関連番号_部</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milscm_2023_010.azn_202310_backup_mt_shinryo_koi_fuka.kokuji_kanren_no_bu IS '告示・通知関連番号_部';</v>
      </c>
    </row>
    <row r="109" spans="1:45" s="25" customFormat="1">
      <c r="A109" s="4"/>
      <c r="B109" s="21">
        <f t="shared" si="2"/>
        <v>97</v>
      </c>
      <c r="C109" s="6" t="s">
        <v>2339</v>
      </c>
      <c r="D109" s="6" t="s">
        <v>2340</v>
      </c>
      <c r="E109" s="8"/>
      <c r="F109" s="7" t="s">
        <v>1782</v>
      </c>
      <c r="G109" s="7" t="str">
        <f t="shared" si="13"/>
        <v>text</v>
      </c>
      <c r="H109" s="26"/>
      <c r="I109" s="10"/>
      <c r="J109" s="11"/>
      <c r="M109" s="4"/>
      <c r="N109" s="78"/>
      <c r="O109" s="78"/>
      <c r="P109" s="78" t="str">
        <f t="shared" si="14"/>
        <v>,kokuji_kanren_no_kubun</v>
      </c>
      <c r="Q109" s="78" t="str">
        <f t="shared" si="15"/>
        <v>TEXT</v>
      </c>
      <c r="R109" s="78" t="str">
        <f t="shared" si="16"/>
        <v/>
      </c>
      <c r="S109" s="78" t="str">
        <f t="shared" si="17"/>
        <v/>
      </c>
      <c r="T109" s="78" t="str">
        <f t="shared" si="18"/>
        <v>-- 告示・通知関連番号_区分番号</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milscm_2023_010.azn_202310_backup_mt_shinryo_koi_fuka.kokuji_kanren_no_kubun IS '告示・通知関連番号_区分番号';</v>
      </c>
    </row>
    <row r="110" spans="1:45" s="25" customFormat="1">
      <c r="A110" s="4"/>
      <c r="B110" s="21">
        <f t="shared" si="2"/>
        <v>98</v>
      </c>
      <c r="C110" s="6" t="s">
        <v>2341</v>
      </c>
      <c r="D110" s="6" t="s">
        <v>2342</v>
      </c>
      <c r="E110" s="8"/>
      <c r="F110" s="7" t="s">
        <v>1782</v>
      </c>
      <c r="G110" s="7" t="str">
        <f t="shared" si="13"/>
        <v>text</v>
      </c>
      <c r="H110" s="26"/>
      <c r="I110" s="10"/>
      <c r="J110" s="11"/>
      <c r="M110" s="4"/>
      <c r="N110" s="78"/>
      <c r="O110" s="78"/>
      <c r="P110" s="78" t="str">
        <f t="shared" si="14"/>
        <v>,kokuji_kanren_no_edaban</v>
      </c>
      <c r="Q110" s="78" t="str">
        <f t="shared" si="15"/>
        <v>TEXT</v>
      </c>
      <c r="R110" s="78" t="str">
        <f t="shared" si="16"/>
        <v/>
      </c>
      <c r="S110" s="78" t="str">
        <f t="shared" si="17"/>
        <v/>
      </c>
      <c r="T110" s="78" t="str">
        <f t="shared" si="18"/>
        <v>-- 告示・通知関連番号_枝番</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milscm_2023_010.azn_202310_backup_mt_shinryo_koi_fuka.kokuji_kanren_no_edaban IS '告示・通知関連番号_枝番';</v>
      </c>
    </row>
    <row r="111" spans="1:45" s="25" customFormat="1">
      <c r="A111" s="4"/>
      <c r="B111" s="21">
        <f t="shared" si="2"/>
        <v>99</v>
      </c>
      <c r="C111" s="6" t="s">
        <v>2343</v>
      </c>
      <c r="D111" s="6" t="s">
        <v>2344</v>
      </c>
      <c r="E111" s="8"/>
      <c r="F111" s="7" t="s">
        <v>1782</v>
      </c>
      <c r="G111" s="7" t="str">
        <f t="shared" si="13"/>
        <v>text</v>
      </c>
      <c r="H111" s="26"/>
      <c r="I111" s="10"/>
      <c r="J111" s="11"/>
      <c r="M111" s="4"/>
      <c r="N111" s="78"/>
      <c r="O111" s="78"/>
      <c r="P111" s="78" t="str">
        <f t="shared" si="14"/>
        <v>,kokuji_kanren_no_koban</v>
      </c>
      <c r="Q111" s="78" t="str">
        <f t="shared" si="15"/>
        <v>TEXT</v>
      </c>
      <c r="R111" s="78" t="str">
        <f t="shared" si="16"/>
        <v/>
      </c>
      <c r="S111" s="78" t="str">
        <f t="shared" si="17"/>
        <v/>
      </c>
      <c r="T111" s="78" t="str">
        <f t="shared" si="18"/>
        <v>-- 告示・通知関連番号_項番</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milscm_2023_010.azn_202310_backup_mt_shinryo_koi_fuka.kokuji_kanren_no_koban IS '告示・通知関連番号_項番';</v>
      </c>
    </row>
    <row r="112" spans="1:45" s="25" customFormat="1">
      <c r="A112" s="4"/>
      <c r="B112" s="21">
        <f t="shared" si="2"/>
        <v>100</v>
      </c>
      <c r="C112" s="6" t="s">
        <v>2345</v>
      </c>
      <c r="D112" s="6" t="s">
        <v>2346</v>
      </c>
      <c r="E112" s="8"/>
      <c r="F112" s="7" t="s">
        <v>1782</v>
      </c>
      <c r="G112" s="7" t="str">
        <f t="shared" si="13"/>
        <v>text</v>
      </c>
      <c r="H112" s="26"/>
      <c r="I112" s="10"/>
      <c r="J112" s="11"/>
      <c r="M112" s="4"/>
      <c r="N112" s="78"/>
      <c r="O112" s="78"/>
      <c r="P112" s="78" t="str">
        <f t="shared" si="14"/>
        <v>,age1_kasan_low</v>
      </c>
      <c r="Q112" s="78" t="str">
        <f t="shared" si="15"/>
        <v>TEXT</v>
      </c>
      <c r="R112" s="78" t="str">
        <f t="shared" si="16"/>
        <v/>
      </c>
      <c r="S112" s="78" t="str">
        <f t="shared" si="17"/>
        <v/>
      </c>
      <c r="T112" s="78" t="str">
        <f t="shared" si="18"/>
        <v>-- 年齢加算1下限年齢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milscm_2023_010.azn_202310_backup_mt_shinryo_koi_fuka.age1_kasan_low IS '年齢加算1下限年齢';</v>
      </c>
    </row>
    <row r="113" spans="1:45" s="25" customFormat="1">
      <c r="A113" s="4"/>
      <c r="B113" s="21">
        <f t="shared" si="2"/>
        <v>101</v>
      </c>
      <c r="C113" s="6" t="s">
        <v>2347</v>
      </c>
      <c r="D113" s="6" t="s">
        <v>2348</v>
      </c>
      <c r="E113" s="8"/>
      <c r="F113" s="7" t="s">
        <v>1782</v>
      </c>
      <c r="G113" s="7" t="str">
        <f t="shared" si="13"/>
        <v>text</v>
      </c>
      <c r="H113" s="26"/>
      <c r="I113" s="10"/>
      <c r="J113" s="11"/>
      <c r="M113" s="4"/>
      <c r="N113" s="78"/>
      <c r="O113" s="78"/>
      <c r="P113" s="78" t="str">
        <f t="shared" si="14"/>
        <v>,age1_kasan_up</v>
      </c>
      <c r="Q113" s="78" t="str">
        <f t="shared" si="15"/>
        <v>TEXT</v>
      </c>
      <c r="R113" s="78" t="str">
        <f t="shared" si="16"/>
        <v/>
      </c>
      <c r="S113" s="78" t="str">
        <f t="shared" si="17"/>
        <v/>
      </c>
      <c r="T113" s="78" t="str">
        <f t="shared" si="18"/>
        <v>-- 年齢加算1上限年齢</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milscm_2023_010.azn_202310_backup_mt_shinryo_koi_fuka.age1_kasan_up IS '年齢加算1上限年齢';</v>
      </c>
    </row>
    <row r="114" spans="1:45" s="25" customFormat="1">
      <c r="A114" s="4"/>
      <c r="B114" s="21">
        <f t="shared" si="2"/>
        <v>102</v>
      </c>
      <c r="C114" s="6" t="s">
        <v>2349</v>
      </c>
      <c r="D114" s="6" t="s">
        <v>2350</v>
      </c>
      <c r="E114" s="8"/>
      <c r="F114" s="7" t="s">
        <v>1782</v>
      </c>
      <c r="G114" s="7" t="str">
        <f t="shared" si="13"/>
        <v>text</v>
      </c>
      <c r="H114" s="26"/>
      <c r="I114" s="10"/>
      <c r="J114" s="11"/>
      <c r="M114" s="4"/>
      <c r="N114" s="78"/>
      <c r="O114" s="78"/>
      <c r="P114" s="78" t="str">
        <f t="shared" si="14"/>
        <v>,age1_kasan_koi_code</v>
      </c>
      <c r="Q114" s="78" t="str">
        <f t="shared" si="15"/>
        <v>TEXT</v>
      </c>
      <c r="R114" s="78" t="str">
        <f t="shared" si="16"/>
        <v/>
      </c>
      <c r="S114" s="78" t="str">
        <f t="shared" si="17"/>
        <v/>
      </c>
      <c r="T114" s="78" t="str">
        <f t="shared" si="18"/>
        <v>-- 年齢加算1注加算診療行為コード</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milscm_2023_010.azn_202310_backup_mt_shinryo_koi_fuka.age1_kasan_koi_code IS '年齢加算1注加算診療行為コード';</v>
      </c>
    </row>
    <row r="115" spans="1:45" s="25" customFormat="1">
      <c r="A115" s="4"/>
      <c r="B115" s="21">
        <f t="shared" si="2"/>
        <v>103</v>
      </c>
      <c r="C115" s="6" t="s">
        <v>2351</v>
      </c>
      <c r="D115" s="6" t="s">
        <v>2352</v>
      </c>
      <c r="E115" s="8"/>
      <c r="F115" s="7" t="s">
        <v>1782</v>
      </c>
      <c r="G115" s="7" t="str">
        <f t="shared" si="13"/>
        <v>text</v>
      </c>
      <c r="H115" s="26"/>
      <c r="I115" s="10"/>
      <c r="J115" s="11"/>
      <c r="M115" s="4"/>
      <c r="N115" s="78"/>
      <c r="O115" s="78"/>
      <c r="P115" s="78" t="str">
        <f t="shared" si="14"/>
        <v>,age2_kasan_low</v>
      </c>
      <c r="Q115" s="78" t="str">
        <f t="shared" si="15"/>
        <v>TEXT</v>
      </c>
      <c r="R115" s="78" t="str">
        <f t="shared" si="16"/>
        <v/>
      </c>
      <c r="S115" s="78" t="str">
        <f t="shared" si="17"/>
        <v/>
      </c>
      <c r="T115" s="78" t="str">
        <f t="shared" si="18"/>
        <v>-- 年齢加算2下限年齢</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milscm_2023_010.azn_202310_backup_mt_shinryo_koi_fuka.age2_kasan_low IS '年齢加算2下限年齢';</v>
      </c>
    </row>
    <row r="116" spans="1:45" s="25" customFormat="1">
      <c r="A116" s="4"/>
      <c r="B116" s="21">
        <f t="shared" si="2"/>
        <v>104</v>
      </c>
      <c r="C116" s="6" t="s">
        <v>2353</v>
      </c>
      <c r="D116" s="6" t="s">
        <v>2354</v>
      </c>
      <c r="E116" s="8"/>
      <c r="F116" s="7" t="s">
        <v>1782</v>
      </c>
      <c r="G116" s="7" t="str">
        <f t="shared" si="13"/>
        <v>text</v>
      </c>
      <c r="H116" s="26"/>
      <c r="I116" s="10"/>
      <c r="J116" s="11"/>
      <c r="M116" s="4"/>
      <c r="N116" s="78"/>
      <c r="O116" s="78"/>
      <c r="P116" s="78" t="str">
        <f t="shared" si="14"/>
        <v>,age2_kasan_up</v>
      </c>
      <c r="Q116" s="78" t="str">
        <f t="shared" si="15"/>
        <v>TEXT</v>
      </c>
      <c r="R116" s="78" t="str">
        <f t="shared" si="16"/>
        <v/>
      </c>
      <c r="S116" s="78" t="str">
        <f t="shared" si="17"/>
        <v/>
      </c>
      <c r="T116" s="78" t="str">
        <f t="shared" si="18"/>
        <v>-- 年齢加算2上限年齢</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milscm_2023_010.azn_202310_backup_mt_shinryo_koi_fuka.age2_kasan_up IS '年齢加算2上限年齢';</v>
      </c>
    </row>
    <row r="117" spans="1:45" s="25" customFormat="1">
      <c r="A117" s="4"/>
      <c r="B117" s="21">
        <f t="shared" si="2"/>
        <v>105</v>
      </c>
      <c r="C117" s="6" t="s">
        <v>2355</v>
      </c>
      <c r="D117" s="6" t="s">
        <v>2356</v>
      </c>
      <c r="E117" s="8"/>
      <c r="F117" s="7" t="s">
        <v>1782</v>
      </c>
      <c r="G117" s="7" t="str">
        <f t="shared" si="13"/>
        <v>text</v>
      </c>
      <c r="H117" s="26"/>
      <c r="I117" s="10"/>
      <c r="J117" s="11"/>
      <c r="M117" s="4"/>
      <c r="N117" s="78"/>
      <c r="O117" s="78"/>
      <c r="P117" s="78" t="str">
        <f t="shared" si="14"/>
        <v>,age2_kasan_koi_code</v>
      </c>
      <c r="Q117" s="78" t="str">
        <f t="shared" si="15"/>
        <v>TEXT</v>
      </c>
      <c r="R117" s="78" t="str">
        <f t="shared" si="16"/>
        <v/>
      </c>
      <c r="S117" s="78" t="str">
        <f t="shared" si="17"/>
        <v/>
      </c>
      <c r="T117" s="78" t="str">
        <f t="shared" si="18"/>
        <v>-- 年齢加算2注加算診療行為コード</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milscm_2023_010.azn_202310_backup_mt_shinryo_koi_fuka.age2_kasan_koi_code IS '年齢加算2注加算診療行為コード';</v>
      </c>
    </row>
    <row r="118" spans="1:45" s="25" customFormat="1">
      <c r="A118" s="4"/>
      <c r="B118" s="21">
        <f t="shared" si="2"/>
        <v>106</v>
      </c>
      <c r="C118" s="6" t="s">
        <v>2357</v>
      </c>
      <c r="D118" s="6" t="s">
        <v>2358</v>
      </c>
      <c r="E118" s="8"/>
      <c r="F118" s="7" t="s">
        <v>1782</v>
      </c>
      <c r="G118" s="7" t="str">
        <f t="shared" si="13"/>
        <v>text</v>
      </c>
      <c r="H118" s="26"/>
      <c r="I118" s="10"/>
      <c r="J118" s="11"/>
      <c r="M118" s="4"/>
      <c r="N118" s="78"/>
      <c r="O118" s="78"/>
      <c r="P118" s="78" t="str">
        <f t="shared" si="14"/>
        <v>,age3_kasan_low</v>
      </c>
      <c r="Q118" s="78" t="str">
        <f t="shared" si="15"/>
        <v>TEXT</v>
      </c>
      <c r="R118" s="78" t="str">
        <f t="shared" si="16"/>
        <v/>
      </c>
      <c r="S118" s="78" t="str">
        <f t="shared" si="17"/>
        <v/>
      </c>
      <c r="T118" s="78" t="str">
        <f t="shared" si="18"/>
        <v>-- 年齢加算3下限年齢</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milscm_2023_010.azn_202310_backup_mt_shinryo_koi_fuka.age3_kasan_low IS '年齢加算3下限年齢';</v>
      </c>
    </row>
    <row r="119" spans="1:45" s="25" customFormat="1">
      <c r="A119" s="4"/>
      <c r="B119" s="21">
        <f t="shared" si="2"/>
        <v>107</v>
      </c>
      <c r="C119" s="6" t="s">
        <v>2359</v>
      </c>
      <c r="D119" s="6" t="s">
        <v>2360</v>
      </c>
      <c r="E119" s="8"/>
      <c r="F119" s="7" t="s">
        <v>1782</v>
      </c>
      <c r="G119" s="7" t="str">
        <f t="shared" si="13"/>
        <v>text</v>
      </c>
      <c r="H119" s="26"/>
      <c r="I119" s="10"/>
      <c r="J119" s="11"/>
      <c r="M119" s="4"/>
      <c r="N119" s="78"/>
      <c r="O119" s="78"/>
      <c r="P119" s="78" t="str">
        <f t="shared" si="14"/>
        <v>,age3_kasan_up</v>
      </c>
      <c r="Q119" s="78" t="str">
        <f t="shared" si="15"/>
        <v>TEXT</v>
      </c>
      <c r="R119" s="78" t="str">
        <f t="shared" si="16"/>
        <v/>
      </c>
      <c r="S119" s="78" t="str">
        <f t="shared" si="17"/>
        <v/>
      </c>
      <c r="T119" s="78" t="str">
        <f t="shared" si="18"/>
        <v>-- 年齢加算3上限年齢</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milscm_2023_010.azn_202310_backup_mt_shinryo_koi_fuka.age3_kasan_up IS '年齢加算3上限年齢';</v>
      </c>
    </row>
    <row r="120" spans="1:45" s="25" customFormat="1">
      <c r="A120" s="4"/>
      <c r="B120" s="21">
        <f t="shared" si="2"/>
        <v>108</v>
      </c>
      <c r="C120" s="6" t="s">
        <v>2361</v>
      </c>
      <c r="D120" s="6" t="s">
        <v>2362</v>
      </c>
      <c r="E120" s="8"/>
      <c r="F120" s="7" t="s">
        <v>1782</v>
      </c>
      <c r="G120" s="7" t="str">
        <f t="shared" si="13"/>
        <v>text</v>
      </c>
      <c r="H120" s="26"/>
      <c r="I120" s="10"/>
      <c r="J120" s="11"/>
      <c r="M120" s="4"/>
      <c r="N120" s="78"/>
      <c r="O120" s="78"/>
      <c r="P120" s="78" t="str">
        <f t="shared" si="14"/>
        <v>,age3_kasan_koi_code</v>
      </c>
      <c r="Q120" s="78" t="str">
        <f t="shared" si="15"/>
        <v>TEXT</v>
      </c>
      <c r="R120" s="78" t="str">
        <f t="shared" si="16"/>
        <v/>
      </c>
      <c r="S120" s="78" t="str">
        <f t="shared" si="17"/>
        <v/>
      </c>
      <c r="T120" s="78" t="str">
        <f t="shared" si="18"/>
        <v>-- 年齢加算3注加算診療行為コード</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milscm_2023_010.azn_202310_backup_mt_shinryo_koi_fuka.age3_kasan_koi_code IS '年齢加算3注加算診療行為コード';</v>
      </c>
    </row>
    <row r="121" spans="1:45" s="25" customFormat="1">
      <c r="A121" s="4"/>
      <c r="B121" s="21">
        <f t="shared" si="2"/>
        <v>109</v>
      </c>
      <c r="C121" s="6" t="s">
        <v>2363</v>
      </c>
      <c r="D121" s="6" t="s">
        <v>2364</v>
      </c>
      <c r="E121" s="8"/>
      <c r="F121" s="7" t="s">
        <v>1782</v>
      </c>
      <c r="G121" s="7" t="str">
        <f t="shared" si="13"/>
        <v>text</v>
      </c>
      <c r="H121" s="26"/>
      <c r="I121" s="10"/>
      <c r="J121" s="11"/>
      <c r="M121" s="4"/>
      <c r="N121" s="78"/>
      <c r="O121" s="78"/>
      <c r="P121" s="78" t="str">
        <f t="shared" si="14"/>
        <v>,age4_kasan_low</v>
      </c>
      <c r="Q121" s="78" t="str">
        <f t="shared" si="15"/>
        <v>TEXT</v>
      </c>
      <c r="R121" s="78" t="str">
        <f t="shared" si="16"/>
        <v/>
      </c>
      <c r="S121" s="78" t="str">
        <f t="shared" si="17"/>
        <v/>
      </c>
      <c r="T121" s="78" t="str">
        <f t="shared" si="18"/>
        <v>-- 年齢加算4下限年齢</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milscm_2023_010.azn_202310_backup_mt_shinryo_koi_fuka.age4_kasan_low IS '年齢加算4下限年齢';</v>
      </c>
    </row>
    <row r="122" spans="1:45" s="25" customFormat="1">
      <c r="A122" s="4"/>
      <c r="B122" s="21">
        <f t="shared" si="2"/>
        <v>110</v>
      </c>
      <c r="C122" s="6" t="s">
        <v>2365</v>
      </c>
      <c r="D122" s="6" t="s">
        <v>2366</v>
      </c>
      <c r="E122" s="8"/>
      <c r="F122" s="7" t="s">
        <v>1782</v>
      </c>
      <c r="G122" s="7" t="str">
        <f t="shared" si="13"/>
        <v>text</v>
      </c>
      <c r="H122" s="26"/>
      <c r="I122" s="10"/>
      <c r="J122" s="11"/>
      <c r="M122" s="4"/>
      <c r="N122" s="78"/>
      <c r="O122" s="78"/>
      <c r="P122" s="78" t="str">
        <f t="shared" si="14"/>
        <v>,age4_kasan_up</v>
      </c>
      <c r="Q122" s="78" t="str">
        <f t="shared" si="15"/>
        <v>TEXT</v>
      </c>
      <c r="R122" s="78" t="str">
        <f t="shared" si="16"/>
        <v/>
      </c>
      <c r="S122" s="78" t="str">
        <f t="shared" si="17"/>
        <v/>
      </c>
      <c r="T122" s="78" t="str">
        <f t="shared" si="18"/>
        <v>-- 年齢加算4上限年齢</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milscm_2023_010.azn_202310_backup_mt_shinryo_koi_fuka.age4_kasan_up IS '年齢加算4上限年齢';</v>
      </c>
    </row>
    <row r="123" spans="1:45" s="25" customFormat="1">
      <c r="A123" s="4"/>
      <c r="B123" s="21">
        <f t="shared" si="2"/>
        <v>111</v>
      </c>
      <c r="C123" s="6" t="s">
        <v>2367</v>
      </c>
      <c r="D123" s="6" t="s">
        <v>2368</v>
      </c>
      <c r="E123" s="8"/>
      <c r="F123" s="7" t="s">
        <v>1782</v>
      </c>
      <c r="G123" s="7" t="str">
        <f t="shared" si="13"/>
        <v>text</v>
      </c>
      <c r="H123" s="26"/>
      <c r="I123" s="10"/>
      <c r="J123" s="11"/>
      <c r="M123" s="4"/>
      <c r="N123" s="78"/>
      <c r="O123" s="78"/>
      <c r="P123" s="78" t="str">
        <f t="shared" si="14"/>
        <v>,age4_kasan_koi_code</v>
      </c>
      <c r="Q123" s="78" t="str">
        <f t="shared" si="15"/>
        <v>TEXT</v>
      </c>
      <c r="R123" s="78" t="str">
        <f t="shared" si="16"/>
        <v/>
      </c>
      <c r="S123" s="78" t="str">
        <f t="shared" si="17"/>
        <v/>
      </c>
      <c r="T123" s="78" t="str">
        <f t="shared" si="18"/>
        <v>-- 年齢加算4注加算診療行為コード</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milscm_2023_010.azn_202310_backup_mt_shinryo_koi_fuka.age4_kasan_koi_code IS '年齢加算4注加算診療行為コード';</v>
      </c>
    </row>
    <row r="124" spans="1:45" s="25" customFormat="1">
      <c r="A124" s="4"/>
      <c r="B124" s="21">
        <f t="shared" si="2"/>
        <v>112</v>
      </c>
      <c r="C124" s="6" t="s">
        <v>2369</v>
      </c>
      <c r="D124" s="6" t="s">
        <v>2370</v>
      </c>
      <c r="E124" s="8"/>
      <c r="F124" s="7" t="s">
        <v>1782</v>
      </c>
      <c r="G124" s="7" t="str">
        <f t="shared" si="13"/>
        <v>text</v>
      </c>
      <c r="H124" s="26"/>
      <c r="I124" s="10"/>
      <c r="J124" s="11"/>
      <c r="M124" s="4"/>
      <c r="N124" s="78"/>
      <c r="O124" s="78"/>
      <c r="P124" s="78" t="str">
        <f t="shared" si="14"/>
        <v>,ido_kanren</v>
      </c>
      <c r="Q124" s="78" t="str">
        <f t="shared" si="15"/>
        <v>TEXT</v>
      </c>
      <c r="R124" s="78" t="str">
        <f t="shared" si="16"/>
        <v/>
      </c>
      <c r="S124" s="78" t="str">
        <f t="shared" si="17"/>
        <v/>
      </c>
      <c r="T124" s="78" t="str">
        <f t="shared" si="18"/>
        <v>-- 異動関連</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milscm_2023_010.azn_202310_backup_mt_shinryo_koi_fuka.ido_kanren IS '異動関連';</v>
      </c>
    </row>
    <row r="125" spans="1:45" s="25" customFormat="1">
      <c r="A125" s="4"/>
      <c r="B125" s="21">
        <f t="shared" si="2"/>
        <v>113</v>
      </c>
      <c r="C125" s="6" t="s">
        <v>2371</v>
      </c>
      <c r="D125" s="6" t="s">
        <v>2372</v>
      </c>
      <c r="E125" s="8"/>
      <c r="F125" s="7" t="s">
        <v>1782</v>
      </c>
      <c r="G125" s="7" t="str">
        <f t="shared" si="13"/>
        <v>text</v>
      </c>
      <c r="H125" s="26"/>
      <c r="I125" s="10"/>
      <c r="J125" s="11"/>
      <c r="M125" s="4"/>
      <c r="N125" s="78"/>
      <c r="O125" s="78"/>
      <c r="P125" s="78" t="str">
        <f t="shared" si="14"/>
        <v>,kihon_kanji_name</v>
      </c>
      <c r="Q125" s="78" t="str">
        <f t="shared" si="15"/>
        <v>TEXT</v>
      </c>
      <c r="R125" s="78" t="str">
        <f t="shared" si="16"/>
        <v/>
      </c>
      <c r="S125" s="78" t="str">
        <f t="shared" si="17"/>
        <v/>
      </c>
      <c r="T125" s="78" t="str">
        <f t="shared" si="18"/>
        <v>-- 基本漢字名称</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milscm_2023_010.azn_202310_backup_mt_shinryo_koi_fuka.kihon_kanji_name IS '基本漢字名称';</v>
      </c>
    </row>
    <row r="126" spans="1:45" s="25" customFormat="1">
      <c r="A126" s="4"/>
      <c r="B126" s="21">
        <f t="shared" si="2"/>
        <v>114</v>
      </c>
      <c r="C126" s="6" t="s">
        <v>2373</v>
      </c>
      <c r="D126" s="6" t="s">
        <v>2374</v>
      </c>
      <c r="E126" s="8"/>
      <c r="F126" s="7" t="s">
        <v>1782</v>
      </c>
      <c r="G126" s="7" t="str">
        <f t="shared" si="13"/>
        <v>text</v>
      </c>
      <c r="H126" s="26"/>
      <c r="I126" s="10"/>
      <c r="J126" s="11"/>
      <c r="M126" s="4"/>
      <c r="N126" s="78"/>
      <c r="O126" s="78"/>
      <c r="P126" s="78" t="str">
        <f t="shared" si="14"/>
        <v>,fukubiko_naishikyo_kasan</v>
      </c>
      <c r="Q126" s="78" t="str">
        <f t="shared" si="15"/>
        <v>TEXT</v>
      </c>
      <c r="R126" s="78" t="str">
        <f t="shared" si="16"/>
        <v/>
      </c>
      <c r="S126" s="78" t="str">
        <f t="shared" si="17"/>
        <v/>
      </c>
      <c r="T126" s="78" t="str">
        <f t="shared" si="18"/>
        <v>-- 副鼻腔手術用内視鏡加算</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milscm_2023_010.azn_202310_backup_mt_shinryo_koi_fuka.fukubiko_naishikyo_kasan IS '副鼻腔手術用内視鏡加算';</v>
      </c>
    </row>
    <row r="127" spans="1:45" s="25" customFormat="1" ht="31.5">
      <c r="A127" s="4"/>
      <c r="B127" s="21">
        <f t="shared" si="2"/>
        <v>115</v>
      </c>
      <c r="C127" s="6" t="s">
        <v>2375</v>
      </c>
      <c r="D127" s="6" t="s">
        <v>2376</v>
      </c>
      <c r="E127" s="8"/>
      <c r="F127" s="7" t="s">
        <v>1782</v>
      </c>
      <c r="G127" s="7" t="str">
        <f t="shared" si="13"/>
        <v>text</v>
      </c>
      <c r="H127" s="26"/>
      <c r="I127" s="10"/>
      <c r="J127" s="11"/>
      <c r="M127" s="4"/>
      <c r="N127" s="78"/>
      <c r="O127" s="78"/>
      <c r="P127" s="78" t="str">
        <f t="shared" si="14"/>
        <v>,fukubiko_kotsunanbu_kasan</v>
      </c>
      <c r="Q127" s="78" t="str">
        <f t="shared" si="15"/>
        <v>TEXT</v>
      </c>
      <c r="R127" s="78" t="str">
        <f t="shared" si="16"/>
        <v/>
      </c>
      <c r="S127" s="78" t="str">
        <f t="shared" si="17"/>
        <v/>
      </c>
      <c r="T127" s="78" t="str">
        <f t="shared" si="18"/>
        <v>-- 副鼻腔手術用骨軟部組織切除機器加算</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milscm_2023_010.azn_202310_backup_mt_shinryo_koi_fuka.fukubiko_kotsunanbu_kasan IS '副鼻腔手術用骨軟部組織切除機器加算';</v>
      </c>
    </row>
    <row r="128" spans="1:45" s="25" customFormat="1">
      <c r="A128" s="4"/>
      <c r="B128" s="21">
        <f t="shared" si="2"/>
        <v>116</v>
      </c>
      <c r="C128" s="6" t="s">
        <v>2377</v>
      </c>
      <c r="D128" s="6" t="s">
        <v>2378</v>
      </c>
      <c r="E128" s="8"/>
      <c r="F128" s="7" t="s">
        <v>1782</v>
      </c>
      <c r="G128" s="7" t="str">
        <f t="shared" si="13"/>
        <v>text</v>
      </c>
      <c r="H128" s="26"/>
      <c r="I128" s="10"/>
      <c r="J128" s="11"/>
      <c r="M128" s="4"/>
      <c r="N128" s="78"/>
      <c r="O128" s="78"/>
      <c r="P128" s="78" t="str">
        <f t="shared" si="14"/>
        <v>,long_masui_kasan</v>
      </c>
      <c r="Q128" s="78" t="str">
        <f t="shared" si="15"/>
        <v>TEXT</v>
      </c>
      <c r="R128" s="78" t="str">
        <f t="shared" si="16"/>
        <v/>
      </c>
      <c r="S128" s="78" t="str">
        <f t="shared" si="17"/>
        <v/>
      </c>
      <c r="T128" s="78" t="str">
        <f t="shared" si="18"/>
        <v>-- 長時間麻酔管理加算</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milscm_2023_010.azn_202310_backup_mt_shinryo_koi_fuka.long_masui_kasan IS '長時間麻酔管理加算';</v>
      </c>
    </row>
    <row r="129" spans="1:45" s="25" customFormat="1" ht="56.25">
      <c r="A129" s="4"/>
      <c r="B129" s="21">
        <f t="shared" si="2"/>
        <v>117</v>
      </c>
      <c r="C129" s="6" t="s">
        <v>2379</v>
      </c>
      <c r="D129" s="6" t="s">
        <v>2380</v>
      </c>
      <c r="E129" s="8"/>
      <c r="F129" s="7" t="s">
        <v>1782</v>
      </c>
      <c r="G129" s="7" t="str">
        <f t="shared" si="13"/>
        <v>text</v>
      </c>
      <c r="H129" s="26"/>
      <c r="I129" s="10"/>
      <c r="J129" s="11" t="s">
        <v>2443</v>
      </c>
      <c r="M129" s="4"/>
      <c r="N129" s="78"/>
      <c r="O129" s="78"/>
      <c r="P129" s="78" t="str">
        <f t="shared" si="14"/>
        <v>,tensu_kubun_no</v>
      </c>
      <c r="Q129" s="78" t="str">
        <f t="shared" si="15"/>
        <v>TEXT</v>
      </c>
      <c r="R129" s="78" t="str">
        <f t="shared" si="16"/>
        <v/>
      </c>
      <c r="S129" s="78" t="str">
        <f t="shared" si="17"/>
        <v/>
      </c>
      <c r="T129" s="78" t="str">
        <f t="shared" si="18"/>
        <v>-- 点数表区分番号</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milscm_2023_010.azn_202310_backup_mt_shinryo_koi_fuka.tensu_kubun_no IS '点数表区分番号';</v>
      </c>
    </row>
    <row r="130" spans="1:45" s="25" customFormat="1">
      <c r="A130" s="4"/>
      <c r="B130" s="21">
        <f t="shared" si="2"/>
        <v>118</v>
      </c>
      <c r="C130" s="6" t="s">
        <v>2381</v>
      </c>
      <c r="D130" s="6" t="s">
        <v>2382</v>
      </c>
      <c r="E130" s="8"/>
      <c r="F130" s="7" t="s">
        <v>1782</v>
      </c>
      <c r="G130" s="7" t="str">
        <f t="shared" si="13"/>
        <v>text</v>
      </c>
      <c r="H130" s="26"/>
      <c r="I130" s="10"/>
      <c r="J130" s="11"/>
      <c r="M130" s="4"/>
      <c r="N130" s="78"/>
      <c r="O130" s="78"/>
      <c r="P130" s="78" t="str">
        <f t="shared" si="14"/>
        <v>,monitoring_kasan</v>
      </c>
      <c r="Q130" s="78" t="str">
        <f t="shared" si="15"/>
        <v>TEXT</v>
      </c>
      <c r="R130" s="78" t="str">
        <f t="shared" si="16"/>
        <v/>
      </c>
      <c r="S130" s="78" t="str">
        <f t="shared" si="17"/>
        <v/>
      </c>
      <c r="T130" s="78" t="str">
        <f t="shared" si="18"/>
        <v>-- モニタリング加算</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milscm_2023_010.azn_202310_backup_mt_shinryo_koi_fuka.monitoring_kasan IS 'モニタリング加算';</v>
      </c>
    </row>
    <row r="131" spans="1:45" s="25" customFormat="1">
      <c r="A131" s="4"/>
      <c r="B131" s="21">
        <f t="shared" si="2"/>
        <v>119</v>
      </c>
      <c r="C131" s="6" t="s">
        <v>2383</v>
      </c>
      <c r="D131" s="6" t="s">
        <v>2384</v>
      </c>
      <c r="E131" s="8"/>
      <c r="F131" s="7" t="s">
        <v>1782</v>
      </c>
      <c r="G131" s="7" t="str">
        <f t="shared" si="13"/>
        <v>text</v>
      </c>
      <c r="H131" s="26"/>
      <c r="I131" s="10"/>
      <c r="J131" s="11"/>
      <c r="M131" s="4"/>
      <c r="N131" s="78"/>
      <c r="O131" s="78"/>
      <c r="P131" s="78" t="str">
        <f t="shared" si="14"/>
        <v>,toketsu_hozon_kasan</v>
      </c>
      <c r="Q131" s="78" t="str">
        <f t="shared" si="15"/>
        <v>TEXT</v>
      </c>
      <c r="R131" s="78" t="str">
        <f t="shared" si="16"/>
        <v/>
      </c>
      <c r="S131" s="78" t="str">
        <f t="shared" si="17"/>
        <v/>
      </c>
      <c r="T131" s="78" t="str">
        <f t="shared" si="18"/>
        <v>-- 凍結保存同種組織加算</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milscm_2023_010.azn_202310_backup_mt_shinryo_koi_fuka.toketsu_hozon_kasan IS '凍結保存同種組織加算';</v>
      </c>
    </row>
    <row r="132" spans="1:45" s="25" customFormat="1">
      <c r="A132" s="4"/>
      <c r="B132" s="21">
        <f t="shared" si="2"/>
        <v>120</v>
      </c>
      <c r="C132" s="6" t="s">
        <v>2385</v>
      </c>
      <c r="D132" s="6" t="s">
        <v>2386</v>
      </c>
      <c r="E132" s="8"/>
      <c r="F132" s="7" t="s">
        <v>1782</v>
      </c>
      <c r="G132" s="7" t="str">
        <f t="shared" si="13"/>
        <v>text</v>
      </c>
      <c r="H132" s="26"/>
      <c r="I132" s="10"/>
      <c r="J132" s="11"/>
      <c r="M132" s="4"/>
      <c r="N132" s="78"/>
      <c r="O132" s="78"/>
      <c r="P132" s="78" t="str">
        <f t="shared" si="14"/>
        <v>,akusei_shuyo_kasan</v>
      </c>
      <c r="Q132" s="78" t="str">
        <f t="shared" si="15"/>
        <v>TEXT</v>
      </c>
      <c r="R132" s="78" t="str">
        <f t="shared" si="16"/>
        <v/>
      </c>
      <c r="S132" s="78" t="str">
        <f t="shared" si="17"/>
        <v/>
      </c>
      <c r="T132" s="78" t="str">
        <f t="shared" si="18"/>
        <v>-- 悪性腫瘍病理組織標本加算</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milscm_2023_010.azn_202310_backup_mt_shinryo_koi_fuka.akusei_shuyo_kasan IS '悪性腫瘍病理組織標本加算';</v>
      </c>
    </row>
    <row r="133" spans="1:45" s="25" customFormat="1">
      <c r="A133" s="4"/>
      <c r="B133" s="21">
        <f t="shared" si="2"/>
        <v>121</v>
      </c>
      <c r="C133" s="6" t="s">
        <v>2387</v>
      </c>
      <c r="D133" s="6" t="s">
        <v>2388</v>
      </c>
      <c r="E133" s="8"/>
      <c r="F133" s="7" t="s">
        <v>1782</v>
      </c>
      <c r="G133" s="7" t="str">
        <f t="shared" si="13"/>
        <v>text</v>
      </c>
      <c r="H133" s="26"/>
      <c r="I133" s="10"/>
      <c r="J133" s="11"/>
      <c r="M133" s="4"/>
      <c r="N133" s="78"/>
      <c r="O133" s="78"/>
      <c r="P133" s="78" t="str">
        <f t="shared" si="14"/>
        <v>,sogai_kotei_kasan</v>
      </c>
      <c r="Q133" s="78" t="str">
        <f t="shared" si="15"/>
        <v>TEXT</v>
      </c>
      <c r="R133" s="78" t="str">
        <f t="shared" si="16"/>
        <v/>
      </c>
      <c r="S133" s="78" t="str">
        <f t="shared" si="17"/>
        <v/>
      </c>
      <c r="T133" s="78" t="str">
        <f t="shared" si="18"/>
        <v>-- 創外固定器加算</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milscm_2023_010.azn_202310_backup_mt_shinryo_koi_fuka.sogai_kotei_kasan IS '創外固定器加算';</v>
      </c>
    </row>
    <row r="134" spans="1:45" s="25" customFormat="1">
      <c r="A134" s="4"/>
      <c r="B134" s="21">
        <f t="shared" si="2"/>
        <v>122</v>
      </c>
      <c r="C134" s="6" t="s">
        <v>2389</v>
      </c>
      <c r="D134" s="6" t="s">
        <v>2390</v>
      </c>
      <c r="E134" s="8"/>
      <c r="F134" s="7" t="s">
        <v>1782</v>
      </c>
      <c r="G134" s="7" t="str">
        <f t="shared" si="13"/>
        <v>text</v>
      </c>
      <c r="H134" s="26"/>
      <c r="I134" s="10"/>
      <c r="J134" s="11"/>
      <c r="M134" s="4"/>
      <c r="N134" s="78"/>
      <c r="O134" s="78"/>
      <c r="P134" s="78" t="str">
        <f t="shared" si="14"/>
        <v>,chouonpa_sessaku_kasan</v>
      </c>
      <c r="Q134" s="78" t="str">
        <f t="shared" si="15"/>
        <v>TEXT</v>
      </c>
      <c r="R134" s="78" t="str">
        <f t="shared" si="16"/>
        <v/>
      </c>
      <c r="S134" s="78" t="str">
        <f t="shared" si="17"/>
        <v/>
      </c>
      <c r="T134" s="78" t="str">
        <f t="shared" si="18"/>
        <v>-- 超音波切削機器加算</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milscm_2023_010.azn_202310_backup_mt_shinryo_koi_fuka.chouonpa_sessaku_kasan IS '超音波切削機器加算';</v>
      </c>
    </row>
    <row r="135" spans="1:45" s="25" customFormat="1">
      <c r="A135" s="4"/>
      <c r="B135" s="21">
        <f t="shared" si="2"/>
        <v>123</v>
      </c>
      <c r="C135" s="6" t="s">
        <v>2391</v>
      </c>
      <c r="D135" s="6" t="s">
        <v>2392</v>
      </c>
      <c r="E135" s="8"/>
      <c r="F135" s="7" t="s">
        <v>1782</v>
      </c>
      <c r="G135" s="7" t="str">
        <f t="shared" si="13"/>
        <v>text</v>
      </c>
      <c r="H135" s="26"/>
      <c r="I135" s="10"/>
      <c r="J135" s="11"/>
      <c r="M135" s="4"/>
      <c r="N135" s="78"/>
      <c r="O135" s="78"/>
      <c r="P135" s="78" t="str">
        <f t="shared" si="14"/>
        <v>,sashin_jiheisa_kasan</v>
      </c>
      <c r="Q135" s="78" t="str">
        <f t="shared" si="15"/>
        <v>TEXT</v>
      </c>
      <c r="R135" s="78" t="str">
        <f t="shared" si="16"/>
        <v/>
      </c>
      <c r="S135" s="78" t="str">
        <f t="shared" si="17"/>
        <v/>
      </c>
      <c r="T135" s="78" t="str">
        <f t="shared" si="18"/>
        <v>-- 左心耳閉鎖術併施加算</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milscm_2023_010.azn_202310_backup_mt_shinryo_koi_fuka.sashin_jiheisa_kasan IS '左心耳閉鎖術併施加算';</v>
      </c>
    </row>
    <row r="136" spans="1:45" s="25" customFormat="1" ht="31.5">
      <c r="A136" s="4"/>
      <c r="B136" s="21">
        <f t="shared" si="2"/>
        <v>124</v>
      </c>
      <c r="C136" s="6" t="s">
        <v>2393</v>
      </c>
      <c r="D136" s="6" t="s">
        <v>2394</v>
      </c>
      <c r="E136" s="8"/>
      <c r="F136" s="7" t="s">
        <v>1782</v>
      </c>
      <c r="G136" s="7" t="str">
        <f t="shared" si="13"/>
        <v>text</v>
      </c>
      <c r="H136" s="26"/>
      <c r="I136" s="10"/>
      <c r="J136" s="11"/>
      <c r="M136" s="4"/>
      <c r="N136" s="78"/>
      <c r="O136" s="78"/>
      <c r="P136" s="78" t="str">
        <f t="shared" si="14"/>
        <v>,gairai_kansen_taisaku_koujo_kubun</v>
      </c>
      <c r="Q136" s="78" t="str">
        <f t="shared" si="15"/>
        <v>TEXT</v>
      </c>
      <c r="R136" s="78" t="str">
        <f t="shared" si="16"/>
        <v/>
      </c>
      <c r="S136" s="78" t="str">
        <f t="shared" si="17"/>
        <v/>
      </c>
      <c r="T136" s="78" t="str">
        <f t="shared" si="18"/>
        <v>-- 外来感染対策向上加算等</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milscm_2023_010.azn_202310_backup_mt_shinryo_koi_fuka.gairai_kansen_taisaku_koujo_kubun IS '外来感染対策向上加算等';</v>
      </c>
    </row>
    <row r="137" spans="1:45" s="25" customFormat="1">
      <c r="A137" s="4"/>
      <c r="B137" s="21">
        <f t="shared" si="2"/>
        <v>125</v>
      </c>
      <c r="C137" s="6" t="s">
        <v>2395</v>
      </c>
      <c r="D137" s="6" t="s">
        <v>2396</v>
      </c>
      <c r="E137" s="8"/>
      <c r="F137" s="7" t="s">
        <v>1782</v>
      </c>
      <c r="G137" s="7" t="str">
        <f t="shared" si="13"/>
        <v>text</v>
      </c>
      <c r="H137" s="26"/>
      <c r="I137" s="10"/>
      <c r="J137" s="11"/>
      <c r="M137" s="4"/>
      <c r="N137" s="78"/>
      <c r="O137" s="78"/>
      <c r="P137" s="78" t="str">
        <f t="shared" si="14"/>
        <v>,jibi_inko_nyuyoji_kasan</v>
      </c>
      <c r="Q137" s="78" t="str">
        <f t="shared" si="15"/>
        <v>TEXT</v>
      </c>
      <c r="R137" s="78" t="str">
        <f t="shared" si="16"/>
        <v/>
      </c>
      <c r="S137" s="78" t="str">
        <f t="shared" si="17"/>
        <v/>
      </c>
      <c r="T137" s="78" t="str">
        <f t="shared" si="18"/>
        <v>-- 耳鼻咽喉科乳幼児処置加算</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milscm_2023_010.azn_202310_backup_mt_shinryo_koi_fuka.jibi_inko_nyuyoji_kasan IS '耳鼻咽喉科乳幼児処置加算';</v>
      </c>
    </row>
    <row r="138" spans="1:45" s="25" customFormat="1" ht="31.5">
      <c r="A138" s="4"/>
      <c r="B138" s="21">
        <f t="shared" si="2"/>
        <v>126</v>
      </c>
      <c r="C138" s="6" t="s">
        <v>2397</v>
      </c>
      <c r="D138" s="6" t="s">
        <v>2398</v>
      </c>
      <c r="E138" s="8"/>
      <c r="F138" s="7" t="s">
        <v>1782</v>
      </c>
      <c r="G138" s="7" t="str">
        <f t="shared" si="13"/>
        <v>text</v>
      </c>
      <c r="H138" s="26"/>
      <c r="I138" s="10"/>
      <c r="J138" s="11"/>
      <c r="M138" s="4"/>
      <c r="N138" s="78"/>
      <c r="O138" s="78"/>
      <c r="P138" s="78" t="str">
        <f t="shared" si="14"/>
        <v>,jibi_inko_shoni_koukin_tekisei_shiyou_shien_kasan</v>
      </c>
      <c r="Q138" s="78" t="str">
        <f t="shared" si="15"/>
        <v>TEXT</v>
      </c>
      <c r="R138" s="78" t="str">
        <f t="shared" si="16"/>
        <v/>
      </c>
      <c r="S138" s="78" t="str">
        <f t="shared" si="17"/>
        <v/>
      </c>
      <c r="T138" s="78" t="str">
        <f t="shared" si="18"/>
        <v>-- 耳鼻咽喉科小児抗菌薬適正使用支援加算</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milscm_2023_010.azn_202310_backup_mt_shinryo_koi_fuka.jibi_inko_shoni_koukin_tekisei_shiyou_shien_kasan IS '耳鼻咽喉科小児抗菌薬適正使用支援加算';</v>
      </c>
    </row>
    <row r="139" spans="1:45" s="25" customFormat="1" ht="31.5">
      <c r="A139" s="4"/>
      <c r="B139" s="21">
        <f t="shared" si="2"/>
        <v>127</v>
      </c>
      <c r="C139" s="6" t="s">
        <v>2399</v>
      </c>
      <c r="D139" s="6" t="s">
        <v>2400</v>
      </c>
      <c r="E139" s="8"/>
      <c r="F139" s="7" t="s">
        <v>1782</v>
      </c>
      <c r="G139" s="7" t="str">
        <f t="shared" si="13"/>
        <v>text</v>
      </c>
      <c r="H139" s="26"/>
      <c r="I139" s="10"/>
      <c r="J139" s="11"/>
      <c r="M139" s="4"/>
      <c r="N139" s="78"/>
      <c r="O139" s="78"/>
      <c r="P139" s="78" t="str">
        <f t="shared" si="14"/>
        <v>,sekkaisou_kyokusho_inatsu_heisa_shochi_kasan</v>
      </c>
      <c r="Q139" s="78" t="str">
        <f t="shared" si="15"/>
        <v>TEXT</v>
      </c>
      <c r="R139" s="78" t="str">
        <f t="shared" si="16"/>
        <v/>
      </c>
      <c r="S139" s="78" t="str">
        <f t="shared" si="17"/>
        <v/>
      </c>
      <c r="T139" s="78" t="str">
        <f t="shared" si="18"/>
        <v>-- 切開創局所陰圧閉鎖処置機器加算</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milscm_2023_010.azn_202310_backup_mt_shinryo_koi_fuka.sekkaisou_kyokusho_inatsu_heisa_shochi_kasan IS '切開創局所陰圧閉鎖処置機器加算';</v>
      </c>
    </row>
    <row r="140" spans="1:45" s="25" customFormat="1">
      <c r="A140" s="4"/>
      <c r="B140" s="21">
        <f t="shared" si="2"/>
        <v>128</v>
      </c>
      <c r="C140" s="6" t="s">
        <v>2064</v>
      </c>
      <c r="D140" s="6" t="s">
        <v>1233</v>
      </c>
      <c r="E140" s="8"/>
      <c r="F140" s="7" t="s">
        <v>1782</v>
      </c>
      <c r="G140" s="7" t="str">
        <f t="shared" si="13"/>
        <v>text</v>
      </c>
      <c r="H140" s="26"/>
      <c r="I140" s="10"/>
      <c r="J140" s="11" t="s">
        <v>2441</v>
      </c>
      <c r="M140" s="4"/>
      <c r="N140" s="78"/>
      <c r="O140" s="78"/>
      <c r="P140" s="78" t="str">
        <f t="shared" si="14"/>
        <v>,reserve5</v>
      </c>
      <c r="Q140" s="78" t="str">
        <f t="shared" si="15"/>
        <v>TEXT</v>
      </c>
      <c r="R140" s="78" t="str">
        <f t="shared" si="16"/>
        <v/>
      </c>
      <c r="S140" s="78" t="str">
        <f t="shared" si="17"/>
        <v/>
      </c>
      <c r="T140" s="78" t="str">
        <f t="shared" si="18"/>
        <v>-- 予備5</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milscm_2023_010.azn_202310_backup_mt_shinryo_koi_fuka.reserve5 IS '予備5';</v>
      </c>
    </row>
    <row r="141" spans="1:45" s="25" customFormat="1">
      <c r="A141" s="4"/>
      <c r="B141" s="21">
        <f t="shared" si="2"/>
        <v>129</v>
      </c>
      <c r="C141" s="6" t="s">
        <v>2065</v>
      </c>
      <c r="D141" s="6" t="s">
        <v>1235</v>
      </c>
      <c r="E141" s="8"/>
      <c r="F141" s="7" t="s">
        <v>1782</v>
      </c>
      <c r="G141" s="7" t="str">
        <f t="shared" si="13"/>
        <v>text</v>
      </c>
      <c r="H141" s="26"/>
      <c r="I141" s="10"/>
      <c r="J141" s="11" t="s">
        <v>2441</v>
      </c>
      <c r="M141" s="4"/>
      <c r="N141" s="78"/>
      <c r="O141" s="78"/>
      <c r="P141" s="78" t="str">
        <f t="shared" si="14"/>
        <v>,reserve6</v>
      </c>
      <c r="Q141" s="78" t="str">
        <f t="shared" si="15"/>
        <v>TEXT</v>
      </c>
      <c r="R141" s="78" t="str">
        <f t="shared" si="16"/>
        <v/>
      </c>
      <c r="S141" s="78" t="str">
        <f t="shared" si="17"/>
        <v/>
      </c>
      <c r="T141" s="78" t="str">
        <f t="shared" si="18"/>
        <v>-- 予備6</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milscm_2023_010.azn_202310_backup_mt_shinryo_koi_fuka.reserve6 IS '予備6';</v>
      </c>
    </row>
    <row r="142" spans="1:45" s="25" customFormat="1">
      <c r="A142" s="4"/>
      <c r="B142" s="21">
        <f t="shared" si="2"/>
        <v>130</v>
      </c>
      <c r="C142" s="6" t="s">
        <v>2066</v>
      </c>
      <c r="D142" s="6" t="s">
        <v>1237</v>
      </c>
      <c r="E142" s="8"/>
      <c r="F142" s="7" t="s">
        <v>1782</v>
      </c>
      <c r="G142" s="7" t="str">
        <f t="shared" si="13"/>
        <v>text</v>
      </c>
      <c r="H142" s="26"/>
      <c r="I142" s="10"/>
      <c r="J142" s="11" t="s">
        <v>2441</v>
      </c>
      <c r="M142" s="4"/>
      <c r="N142" s="78"/>
      <c r="O142" s="78"/>
      <c r="P142" s="78" t="str">
        <f t="shared" si="14"/>
        <v>,reserve7</v>
      </c>
      <c r="Q142" s="78" t="str">
        <f t="shared" si="15"/>
        <v>TEXT</v>
      </c>
      <c r="R142" s="78" t="str">
        <f t="shared" si="16"/>
        <v/>
      </c>
      <c r="S142" s="78" t="str">
        <f t="shared" si="17"/>
        <v/>
      </c>
      <c r="T142" s="78" t="str">
        <f t="shared" si="18"/>
        <v>-- 予備7</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milscm_2023_010.azn_202310_backup_mt_shinryo_koi_fuka.reserve7 IS '予備7';</v>
      </c>
    </row>
    <row r="143" spans="1:45" s="25" customFormat="1">
      <c r="A143" s="4"/>
      <c r="B143" s="21">
        <f t="shared" si="2"/>
        <v>131</v>
      </c>
      <c r="C143" s="6" t="s">
        <v>2067</v>
      </c>
      <c r="D143" s="6" t="s">
        <v>2068</v>
      </c>
      <c r="E143" s="8"/>
      <c r="F143" s="7" t="s">
        <v>1782</v>
      </c>
      <c r="G143" s="7" t="str">
        <f t="shared" si="13"/>
        <v>text</v>
      </c>
      <c r="H143" s="26"/>
      <c r="I143" s="10"/>
      <c r="J143" s="11" t="s">
        <v>2441</v>
      </c>
      <c r="M143" s="4"/>
      <c r="N143" s="78"/>
      <c r="O143" s="78"/>
      <c r="P143" s="78" t="str">
        <f t="shared" si="14"/>
        <v>,reserve8</v>
      </c>
      <c r="Q143" s="78" t="str">
        <f t="shared" si="15"/>
        <v>TEXT</v>
      </c>
      <c r="R143" s="78" t="str">
        <f t="shared" si="16"/>
        <v/>
      </c>
      <c r="S143" s="78" t="str">
        <f t="shared" si="17"/>
        <v/>
      </c>
      <c r="T143" s="78" t="str">
        <f t="shared" si="18"/>
        <v>-- 予備8</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milscm_2023_010.azn_202310_backup_mt_shinryo_koi_fuka.reserve8 IS '予備8';</v>
      </c>
    </row>
    <row r="144" spans="1:45" s="25" customFormat="1">
      <c r="A144" s="4"/>
      <c r="B144" s="21">
        <f t="shared" si="2"/>
        <v>132</v>
      </c>
      <c r="C144" s="6" t="s">
        <v>2401</v>
      </c>
      <c r="D144" s="6" t="s">
        <v>2402</v>
      </c>
      <c r="E144" s="8"/>
      <c r="F144" s="7" t="s">
        <v>1782</v>
      </c>
      <c r="G144" s="7" t="str">
        <f t="shared" si="13"/>
        <v>text</v>
      </c>
      <c r="H144" s="26"/>
      <c r="I144" s="10"/>
      <c r="J144" s="11" t="s">
        <v>2441</v>
      </c>
      <c r="M144" s="4"/>
      <c r="N144" s="78"/>
      <c r="O144" s="78"/>
      <c r="P144" s="78" t="str">
        <f t="shared" si="14"/>
        <v>,reserve9</v>
      </c>
      <c r="Q144" s="78" t="str">
        <f t="shared" si="15"/>
        <v>TEXT</v>
      </c>
      <c r="R144" s="78" t="str">
        <f t="shared" si="16"/>
        <v/>
      </c>
      <c r="S144" s="78" t="str">
        <f t="shared" si="17"/>
        <v/>
      </c>
      <c r="T144" s="78" t="str">
        <f t="shared" si="18"/>
        <v>-- 予備9</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milscm_2023_010.azn_202310_backup_mt_shinryo_koi_fuka.reserve9 IS '予備9';</v>
      </c>
    </row>
    <row r="145" spans="1:45" s="25" customFormat="1">
      <c r="A145" s="4"/>
      <c r="B145" s="21">
        <f t="shared" si="2"/>
        <v>133</v>
      </c>
      <c r="C145" s="6" t="s">
        <v>2403</v>
      </c>
      <c r="D145" s="6" t="s">
        <v>2404</v>
      </c>
      <c r="E145" s="8"/>
      <c r="F145" s="7" t="s">
        <v>1782</v>
      </c>
      <c r="G145" s="7" t="str">
        <f t="shared" si="13"/>
        <v>text</v>
      </c>
      <c r="H145" s="26"/>
      <c r="I145" s="10"/>
      <c r="J145" s="11" t="s">
        <v>2441</v>
      </c>
      <c r="M145" s="4"/>
      <c r="N145" s="78"/>
      <c r="O145" s="78"/>
      <c r="P145" s="78" t="str">
        <f t="shared" si="14"/>
        <v>,reserve10</v>
      </c>
      <c r="Q145" s="78" t="str">
        <f t="shared" si="15"/>
        <v>TEXT</v>
      </c>
      <c r="R145" s="78" t="str">
        <f t="shared" si="16"/>
        <v/>
      </c>
      <c r="S145" s="78" t="str">
        <f t="shared" si="17"/>
        <v/>
      </c>
      <c r="T145" s="78" t="str">
        <f t="shared" si="18"/>
        <v>-- 予備10</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milscm_2023_010.azn_202310_backup_mt_shinryo_koi_fuka.reserve10 IS '予備10';</v>
      </c>
    </row>
    <row r="146" spans="1:45" s="25" customFormat="1">
      <c r="A146" s="4"/>
      <c r="B146" s="21">
        <f t="shared" si="2"/>
        <v>134</v>
      </c>
      <c r="C146" s="6" t="s">
        <v>2405</v>
      </c>
      <c r="D146" s="6" t="s">
        <v>2406</v>
      </c>
      <c r="E146" s="8"/>
      <c r="F146" s="7" t="s">
        <v>1782</v>
      </c>
      <c r="G146" s="7" t="str">
        <f t="shared" ref="G146:G162" si="19">IF(F146="フラグ","boolean",IF(F146="文字列","text",IF(F146="整数","integer",IF(F146="実数","numeric",""))))</f>
        <v>text</v>
      </c>
      <c r="H146" s="26"/>
      <c r="I146" s="10"/>
      <c r="J146" s="11" t="s">
        <v>2441</v>
      </c>
      <c r="M146" s="4"/>
      <c r="N146" s="78"/>
      <c r="O146" s="78"/>
      <c r="P146" s="78" t="str">
        <f t="shared" ref="P146:P162" si="20">IF(B146&lt;&gt;1,","&amp;D146,D146)</f>
        <v>,reserve11</v>
      </c>
      <c r="Q146" s="78" t="str">
        <f t="shared" ref="Q146:Q162" si="21">UPPER(G146)</f>
        <v>TEXT</v>
      </c>
      <c r="R146" s="78" t="str">
        <f t="shared" ref="R146:R162" si="22">IF(H146&lt;&gt;"","default "&amp;IF(G146="text","'"&amp;H146&amp;"'",H146),"")</f>
        <v/>
      </c>
      <c r="S146" s="78" t="str">
        <f t="shared" ref="S146:S162" si="23">IF(I146="○","NOT NULL","")</f>
        <v/>
      </c>
      <c r="T146" s="78" t="str">
        <f t="shared" ref="T146:T162" si="24">"-- "&amp;C146</f>
        <v>-- 予備11</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milscm_2023_010.azn_202310_backup_mt_shinryo_koi_fuka.reserve11 IS '予備11';</v>
      </c>
    </row>
    <row r="147" spans="1:45" s="25" customFormat="1">
      <c r="A147" s="4"/>
      <c r="B147" s="21">
        <f t="shared" si="2"/>
        <v>135</v>
      </c>
      <c r="C147" s="6" t="s">
        <v>2407</v>
      </c>
      <c r="D147" s="6" t="s">
        <v>2408</v>
      </c>
      <c r="E147" s="8"/>
      <c r="F147" s="7" t="s">
        <v>1782</v>
      </c>
      <c r="G147" s="7" t="str">
        <f t="shared" si="19"/>
        <v>text</v>
      </c>
      <c r="H147" s="26"/>
      <c r="I147" s="10"/>
      <c r="J147" s="11" t="s">
        <v>2441</v>
      </c>
      <c r="M147" s="4"/>
      <c r="N147" s="78"/>
      <c r="O147" s="78"/>
      <c r="P147" s="78" t="str">
        <f t="shared" si="20"/>
        <v>,reserve12</v>
      </c>
      <c r="Q147" s="78" t="str">
        <f t="shared" si="21"/>
        <v>TEXT</v>
      </c>
      <c r="R147" s="78" t="str">
        <f t="shared" si="22"/>
        <v/>
      </c>
      <c r="S147" s="78" t="str">
        <f t="shared" si="23"/>
        <v/>
      </c>
      <c r="T147" s="78" t="str">
        <f t="shared" si="24"/>
        <v>-- 予備12</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milscm_2023_010.azn_202310_backup_mt_shinryo_koi_fuka.reserve12 IS '予備12';</v>
      </c>
    </row>
    <row r="148" spans="1:45" s="25" customFormat="1">
      <c r="A148" s="4"/>
      <c r="B148" s="21">
        <f t="shared" si="2"/>
        <v>136</v>
      </c>
      <c r="C148" s="6" t="s">
        <v>2409</v>
      </c>
      <c r="D148" s="6" t="s">
        <v>2410</v>
      </c>
      <c r="E148" s="8"/>
      <c r="F148" s="7" t="s">
        <v>1782</v>
      </c>
      <c r="G148" s="7" t="str">
        <f t="shared" si="19"/>
        <v>text</v>
      </c>
      <c r="H148" s="26"/>
      <c r="I148" s="10"/>
      <c r="J148" s="11" t="s">
        <v>2441</v>
      </c>
      <c r="M148" s="4"/>
      <c r="N148" s="78"/>
      <c r="O148" s="78"/>
      <c r="P148" s="78" t="str">
        <f t="shared" si="20"/>
        <v>,reserve13</v>
      </c>
      <c r="Q148" s="78" t="str">
        <f t="shared" si="21"/>
        <v>TEXT</v>
      </c>
      <c r="R148" s="78" t="str">
        <f t="shared" si="22"/>
        <v/>
      </c>
      <c r="S148" s="78" t="str">
        <f t="shared" si="23"/>
        <v/>
      </c>
      <c r="T148" s="78" t="str">
        <f t="shared" si="24"/>
        <v>-- 予備13</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milscm_2023_010.azn_202310_backup_mt_shinryo_koi_fuka.reserve13 IS '予備13';</v>
      </c>
    </row>
    <row r="149" spans="1:45" s="25" customFormat="1">
      <c r="A149" s="4"/>
      <c r="B149" s="21">
        <f t="shared" si="2"/>
        <v>137</v>
      </c>
      <c r="C149" s="6" t="s">
        <v>2411</v>
      </c>
      <c r="D149" s="6" t="s">
        <v>2412</v>
      </c>
      <c r="E149" s="8"/>
      <c r="F149" s="7" t="s">
        <v>1782</v>
      </c>
      <c r="G149" s="7" t="str">
        <f t="shared" si="19"/>
        <v>text</v>
      </c>
      <c r="H149" s="26"/>
      <c r="I149" s="10"/>
      <c r="J149" s="11" t="s">
        <v>2441</v>
      </c>
      <c r="M149" s="4"/>
      <c r="N149" s="78"/>
      <c r="O149" s="78"/>
      <c r="P149" s="78" t="str">
        <f t="shared" si="20"/>
        <v>,reserve14</v>
      </c>
      <c r="Q149" s="78" t="str">
        <f t="shared" si="21"/>
        <v>TEXT</v>
      </c>
      <c r="R149" s="78" t="str">
        <f t="shared" si="22"/>
        <v/>
      </c>
      <c r="S149" s="78" t="str">
        <f t="shared" si="23"/>
        <v/>
      </c>
      <c r="T149" s="78" t="str">
        <f t="shared" si="24"/>
        <v>-- 予備14</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milscm_2023_010.azn_202310_backup_mt_shinryo_koi_fuka.reserve14 IS '予備14';</v>
      </c>
    </row>
    <row r="150" spans="1:45" s="25" customFormat="1">
      <c r="A150" s="4"/>
      <c r="B150" s="21">
        <f t="shared" si="2"/>
        <v>138</v>
      </c>
      <c r="C150" s="6" t="s">
        <v>2413</v>
      </c>
      <c r="D150" s="6" t="s">
        <v>2414</v>
      </c>
      <c r="E150" s="8"/>
      <c r="F150" s="7" t="s">
        <v>1782</v>
      </c>
      <c r="G150" s="7" t="str">
        <f t="shared" si="19"/>
        <v>text</v>
      </c>
      <c r="H150" s="26"/>
      <c r="I150" s="10"/>
      <c r="J150" s="11" t="s">
        <v>2441</v>
      </c>
      <c r="M150" s="4"/>
      <c r="N150" s="78"/>
      <c r="O150" s="78"/>
      <c r="P150" s="78" t="str">
        <f t="shared" si="20"/>
        <v>,reserve15</v>
      </c>
      <c r="Q150" s="78" t="str">
        <f t="shared" si="21"/>
        <v>TEXT</v>
      </c>
      <c r="R150" s="78" t="str">
        <f t="shared" si="22"/>
        <v/>
      </c>
      <c r="S150" s="78" t="str">
        <f t="shared" si="23"/>
        <v/>
      </c>
      <c r="T150" s="78" t="str">
        <f t="shared" si="24"/>
        <v>-- 予備15</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milscm_2023_010.azn_202310_backup_mt_shinryo_koi_fuka.reserve15 IS '予備15';</v>
      </c>
    </row>
    <row r="151" spans="1:45" s="25" customFormat="1">
      <c r="A151" s="4"/>
      <c r="B151" s="21">
        <f t="shared" si="2"/>
        <v>139</v>
      </c>
      <c r="C151" s="6" t="s">
        <v>2415</v>
      </c>
      <c r="D151" s="6" t="s">
        <v>2416</v>
      </c>
      <c r="E151" s="8"/>
      <c r="F151" s="7" t="s">
        <v>1782</v>
      </c>
      <c r="G151" s="7" t="str">
        <f t="shared" si="19"/>
        <v>text</v>
      </c>
      <c r="H151" s="26"/>
      <c r="I151" s="10"/>
      <c r="J151" s="11" t="s">
        <v>2441</v>
      </c>
      <c r="M151" s="4"/>
      <c r="N151" s="78"/>
      <c r="O151" s="78"/>
      <c r="P151" s="78" t="str">
        <f t="shared" si="20"/>
        <v>,reserve16</v>
      </c>
      <c r="Q151" s="78" t="str">
        <f t="shared" si="21"/>
        <v>TEXT</v>
      </c>
      <c r="R151" s="78" t="str">
        <f t="shared" si="22"/>
        <v/>
      </c>
      <c r="S151" s="78" t="str">
        <f t="shared" si="23"/>
        <v/>
      </c>
      <c r="T151" s="78" t="str">
        <f t="shared" si="24"/>
        <v>-- 予備16</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milscm_2023_010.azn_202310_backup_mt_shinryo_koi_fuka.reserve16 IS '予備16';</v>
      </c>
    </row>
    <row r="152" spans="1:45" s="25" customFormat="1">
      <c r="A152" s="4"/>
      <c r="B152" s="21">
        <f t="shared" si="2"/>
        <v>140</v>
      </c>
      <c r="C152" s="6" t="s">
        <v>2417</v>
      </c>
      <c r="D152" s="6" t="s">
        <v>2418</v>
      </c>
      <c r="E152" s="8"/>
      <c r="F152" s="7" t="s">
        <v>1782</v>
      </c>
      <c r="G152" s="7" t="str">
        <f t="shared" si="19"/>
        <v>text</v>
      </c>
      <c r="H152" s="26"/>
      <c r="I152" s="10"/>
      <c r="J152" s="11" t="s">
        <v>2441</v>
      </c>
      <c r="M152" s="4"/>
      <c r="N152" s="78"/>
      <c r="O152" s="78"/>
      <c r="P152" s="78" t="str">
        <f t="shared" si="20"/>
        <v>,reserve17</v>
      </c>
      <c r="Q152" s="78" t="str">
        <f t="shared" si="21"/>
        <v>TEXT</v>
      </c>
      <c r="R152" s="78" t="str">
        <f t="shared" si="22"/>
        <v/>
      </c>
      <c r="S152" s="78" t="str">
        <f t="shared" si="23"/>
        <v/>
      </c>
      <c r="T152" s="78" t="str">
        <f t="shared" si="24"/>
        <v>-- 予備17</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milscm_2023_010.azn_202310_backup_mt_shinryo_koi_fuka.reserve17 IS '予備17';</v>
      </c>
    </row>
    <row r="153" spans="1:45" s="25" customFormat="1">
      <c r="A153" s="4"/>
      <c r="B153" s="21">
        <f t="shared" si="2"/>
        <v>141</v>
      </c>
      <c r="C153" s="6" t="s">
        <v>2419</v>
      </c>
      <c r="D153" s="6" t="s">
        <v>2420</v>
      </c>
      <c r="E153" s="8"/>
      <c r="F153" s="7" t="s">
        <v>1782</v>
      </c>
      <c r="G153" s="7" t="str">
        <f t="shared" si="19"/>
        <v>text</v>
      </c>
      <c r="H153" s="26"/>
      <c r="I153" s="10"/>
      <c r="J153" s="11" t="s">
        <v>2441</v>
      </c>
      <c r="M153" s="4"/>
      <c r="N153" s="78"/>
      <c r="O153" s="78"/>
      <c r="P153" s="78" t="str">
        <f t="shared" si="20"/>
        <v>,reserve18</v>
      </c>
      <c r="Q153" s="78" t="str">
        <f t="shared" si="21"/>
        <v>TEXT</v>
      </c>
      <c r="R153" s="78" t="str">
        <f t="shared" si="22"/>
        <v/>
      </c>
      <c r="S153" s="78" t="str">
        <f t="shared" si="23"/>
        <v/>
      </c>
      <c r="T153" s="78" t="str">
        <f t="shared" si="24"/>
        <v>-- 予備18</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milscm_2023_010.azn_202310_backup_mt_shinryo_koi_fuka.reserve18 IS '予備18';</v>
      </c>
    </row>
    <row r="154" spans="1:45" s="25" customFormat="1">
      <c r="A154" s="4"/>
      <c r="B154" s="21">
        <f t="shared" si="2"/>
        <v>142</v>
      </c>
      <c r="C154" s="6" t="s">
        <v>2421</v>
      </c>
      <c r="D154" s="6" t="s">
        <v>2422</v>
      </c>
      <c r="E154" s="8"/>
      <c r="F154" s="7" t="s">
        <v>1782</v>
      </c>
      <c r="G154" s="7" t="str">
        <f t="shared" si="19"/>
        <v>text</v>
      </c>
      <c r="H154" s="26"/>
      <c r="I154" s="10"/>
      <c r="J154" s="11" t="s">
        <v>2441</v>
      </c>
      <c r="M154" s="4"/>
      <c r="N154" s="78"/>
      <c r="O154" s="78"/>
      <c r="P154" s="78" t="str">
        <f t="shared" si="20"/>
        <v>,reserve19</v>
      </c>
      <c r="Q154" s="78" t="str">
        <f t="shared" si="21"/>
        <v>TEXT</v>
      </c>
      <c r="R154" s="78" t="str">
        <f t="shared" si="22"/>
        <v/>
      </c>
      <c r="S154" s="78" t="str">
        <f t="shared" si="23"/>
        <v/>
      </c>
      <c r="T154" s="78" t="str">
        <f t="shared" si="24"/>
        <v>-- 予備19</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milscm_2023_010.azn_202310_backup_mt_shinryo_koi_fuka.reserve19 IS '予備19';</v>
      </c>
    </row>
    <row r="155" spans="1:45" s="25" customFormat="1">
      <c r="A155" s="4"/>
      <c r="B155" s="21">
        <f t="shared" si="2"/>
        <v>143</v>
      </c>
      <c r="C155" s="6" t="s">
        <v>2423</v>
      </c>
      <c r="D155" s="6" t="s">
        <v>2424</v>
      </c>
      <c r="E155" s="8"/>
      <c r="F155" s="7" t="s">
        <v>1782</v>
      </c>
      <c r="G155" s="7" t="str">
        <f t="shared" si="19"/>
        <v>text</v>
      </c>
      <c r="H155" s="26"/>
      <c r="I155" s="10"/>
      <c r="J155" s="11" t="s">
        <v>2441</v>
      </c>
      <c r="M155" s="4"/>
      <c r="N155" s="78"/>
      <c r="O155" s="78"/>
      <c r="P155" s="78" t="str">
        <f t="shared" si="20"/>
        <v>,reserve20</v>
      </c>
      <c r="Q155" s="78" t="str">
        <f t="shared" si="21"/>
        <v>TEXT</v>
      </c>
      <c r="R155" s="78" t="str">
        <f t="shared" si="22"/>
        <v/>
      </c>
      <c r="S155" s="78" t="str">
        <f t="shared" si="23"/>
        <v/>
      </c>
      <c r="T155" s="78" t="str">
        <f t="shared" si="24"/>
        <v>-- 予備20</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milscm_2023_010.azn_202310_backup_mt_shinryo_koi_fuka.reserve20 IS '予備20';</v>
      </c>
    </row>
    <row r="156" spans="1:45" s="25" customFormat="1">
      <c r="A156" s="4"/>
      <c r="B156" s="21">
        <f t="shared" si="2"/>
        <v>144</v>
      </c>
      <c r="C156" s="6" t="s">
        <v>2425</v>
      </c>
      <c r="D156" s="6" t="s">
        <v>2426</v>
      </c>
      <c r="E156" s="8"/>
      <c r="F156" s="7" t="s">
        <v>1782</v>
      </c>
      <c r="G156" s="7" t="str">
        <f t="shared" si="19"/>
        <v>text</v>
      </c>
      <c r="H156" s="26"/>
      <c r="I156" s="10"/>
      <c r="J156" s="11" t="s">
        <v>2441</v>
      </c>
      <c r="M156" s="4"/>
      <c r="N156" s="78"/>
      <c r="O156" s="78"/>
      <c r="P156" s="78" t="str">
        <f t="shared" si="20"/>
        <v>,reserve21</v>
      </c>
      <c r="Q156" s="78" t="str">
        <f t="shared" si="21"/>
        <v>TEXT</v>
      </c>
      <c r="R156" s="78" t="str">
        <f t="shared" si="22"/>
        <v/>
      </c>
      <c r="S156" s="78" t="str">
        <f t="shared" si="23"/>
        <v/>
      </c>
      <c r="T156" s="78" t="str">
        <f t="shared" si="24"/>
        <v>-- 予備21</v>
      </c>
      <c r="U156" s="4"/>
      <c r="AA156" s="4"/>
      <c r="AB156" s="4"/>
      <c r="AC156" s="4"/>
      <c r="AD156" s="4"/>
      <c r="AE156" s="4"/>
      <c r="AF156" s="4"/>
      <c r="AG156" s="4"/>
      <c r="AH156" s="4"/>
      <c r="AI156" s="4"/>
      <c r="AJ156" s="78" t="str">
        <f>IF(E156="○",IF(COUNTA(E$13:E156)=1,"",",")&amp;D156,"")</f>
        <v/>
      </c>
      <c r="AK156" s="4"/>
      <c r="AL156" s="4"/>
      <c r="AM156" s="4"/>
      <c r="AN156" s="4"/>
      <c r="AO156" s="4"/>
      <c r="AP156" s="4"/>
      <c r="AQ156" s="4"/>
      <c r="AR156" s="4"/>
      <c r="AS156" s="78" t="str">
        <f>"COMMENT ON COLUMN "&amp;エンティティ一覧!$O$2&amp;"."&amp;D$8&amp;"."&amp;D156&amp;" IS '"&amp;C156&amp;"';"</f>
        <v>COMMENT ON COLUMN milscm_2023_010.azn_202310_backup_mt_shinryo_koi_fuka.reserve21 IS '予備21';</v>
      </c>
    </row>
    <row r="157" spans="1:45" s="25" customFormat="1">
      <c r="A157" s="4"/>
      <c r="B157" s="21">
        <f t="shared" si="2"/>
        <v>145</v>
      </c>
      <c r="C157" s="6" t="s">
        <v>2427</v>
      </c>
      <c r="D157" s="6" t="s">
        <v>2428</v>
      </c>
      <c r="E157" s="8"/>
      <c r="F157" s="7" t="s">
        <v>1782</v>
      </c>
      <c r="G157" s="7" t="str">
        <f t="shared" si="19"/>
        <v>text</v>
      </c>
      <c r="H157" s="26"/>
      <c r="I157" s="10"/>
      <c r="J157" s="11" t="s">
        <v>2441</v>
      </c>
      <c r="M157" s="4"/>
      <c r="N157" s="78"/>
      <c r="O157" s="78"/>
      <c r="P157" s="78" t="str">
        <f t="shared" si="20"/>
        <v>,reserve22</v>
      </c>
      <c r="Q157" s="78" t="str">
        <f t="shared" si="21"/>
        <v>TEXT</v>
      </c>
      <c r="R157" s="78" t="str">
        <f t="shared" si="22"/>
        <v/>
      </c>
      <c r="S157" s="78" t="str">
        <f t="shared" si="23"/>
        <v/>
      </c>
      <c r="T157" s="78" t="str">
        <f t="shared" si="24"/>
        <v>-- 予備22</v>
      </c>
      <c r="U157" s="4"/>
      <c r="AA157" s="4"/>
      <c r="AB157" s="4"/>
      <c r="AC157" s="4"/>
      <c r="AD157" s="4"/>
      <c r="AE157" s="4"/>
      <c r="AF157" s="4"/>
      <c r="AG157" s="4"/>
      <c r="AH157" s="4"/>
      <c r="AI157" s="4"/>
      <c r="AJ157" s="78" t="str">
        <f>IF(E157="○",IF(COUNTA(E$13:E157)=1,"",",")&amp;D157,"")</f>
        <v/>
      </c>
      <c r="AK157" s="4"/>
      <c r="AL157" s="4"/>
      <c r="AM157" s="4"/>
      <c r="AN157" s="4"/>
      <c r="AO157" s="4"/>
      <c r="AP157" s="4"/>
      <c r="AQ157" s="4"/>
      <c r="AR157" s="4"/>
      <c r="AS157" s="78" t="str">
        <f>"COMMENT ON COLUMN "&amp;エンティティ一覧!$O$2&amp;"."&amp;D$8&amp;"."&amp;D157&amp;" IS '"&amp;C157&amp;"';"</f>
        <v>COMMENT ON COLUMN milscm_2023_010.azn_202310_backup_mt_shinryo_koi_fuka.reserve22 IS '予備22';</v>
      </c>
    </row>
    <row r="158" spans="1:45" s="25" customFormat="1">
      <c r="A158" s="4"/>
      <c r="B158" s="21">
        <f t="shared" si="2"/>
        <v>146</v>
      </c>
      <c r="C158" s="6" t="s">
        <v>2429</v>
      </c>
      <c r="D158" s="6" t="s">
        <v>2430</v>
      </c>
      <c r="E158" s="8"/>
      <c r="F158" s="7" t="s">
        <v>1782</v>
      </c>
      <c r="G158" s="7" t="str">
        <f t="shared" si="19"/>
        <v>text</v>
      </c>
      <c r="H158" s="26"/>
      <c r="I158" s="10"/>
      <c r="J158" s="11" t="s">
        <v>2441</v>
      </c>
      <c r="M158" s="4"/>
      <c r="N158" s="78"/>
      <c r="O158" s="78"/>
      <c r="P158" s="78" t="str">
        <f t="shared" si="20"/>
        <v>,reserve23</v>
      </c>
      <c r="Q158" s="78" t="str">
        <f t="shared" si="21"/>
        <v>TEXT</v>
      </c>
      <c r="R158" s="78" t="str">
        <f t="shared" si="22"/>
        <v/>
      </c>
      <c r="S158" s="78" t="str">
        <f t="shared" si="23"/>
        <v/>
      </c>
      <c r="T158" s="78" t="str">
        <f t="shared" si="24"/>
        <v>-- 予備23</v>
      </c>
      <c r="U158" s="4"/>
      <c r="AA158" s="4"/>
      <c r="AB158" s="4"/>
      <c r="AC158" s="4"/>
      <c r="AD158" s="4"/>
      <c r="AE158" s="4"/>
      <c r="AF158" s="4"/>
      <c r="AG158" s="4"/>
      <c r="AH158" s="4"/>
      <c r="AI158" s="4"/>
      <c r="AJ158" s="78" t="str">
        <f>IF(E158="○",IF(COUNTA(E$13:E158)=1,"",",")&amp;D158,"")</f>
        <v/>
      </c>
      <c r="AK158" s="4"/>
      <c r="AL158" s="4"/>
      <c r="AM158" s="4"/>
      <c r="AN158" s="4"/>
      <c r="AO158" s="4"/>
      <c r="AP158" s="4"/>
      <c r="AQ158" s="4"/>
      <c r="AR158" s="4"/>
      <c r="AS158" s="78" t="str">
        <f>"COMMENT ON COLUMN "&amp;エンティティ一覧!$O$2&amp;"."&amp;D$8&amp;"."&amp;D158&amp;" IS '"&amp;C158&amp;"';"</f>
        <v>COMMENT ON COLUMN milscm_2023_010.azn_202310_backup_mt_shinryo_koi_fuka.reserve23 IS '予備23';</v>
      </c>
    </row>
    <row r="159" spans="1:45" s="25" customFormat="1">
      <c r="A159" s="4"/>
      <c r="B159" s="21">
        <f t="shared" si="2"/>
        <v>147</v>
      </c>
      <c r="C159" s="6" t="s">
        <v>2431</v>
      </c>
      <c r="D159" s="6" t="s">
        <v>2432</v>
      </c>
      <c r="E159" s="8"/>
      <c r="F159" s="7" t="s">
        <v>1782</v>
      </c>
      <c r="G159" s="7" t="str">
        <f t="shared" si="19"/>
        <v>text</v>
      </c>
      <c r="H159" s="26"/>
      <c r="I159" s="10"/>
      <c r="J159" s="11" t="s">
        <v>2441</v>
      </c>
      <c r="M159" s="4"/>
      <c r="N159" s="78"/>
      <c r="O159" s="78"/>
      <c r="P159" s="78" t="str">
        <f t="shared" si="20"/>
        <v>,reserve24</v>
      </c>
      <c r="Q159" s="78" t="str">
        <f t="shared" si="21"/>
        <v>TEXT</v>
      </c>
      <c r="R159" s="78" t="str">
        <f t="shared" si="22"/>
        <v/>
      </c>
      <c r="S159" s="78" t="str">
        <f t="shared" si="23"/>
        <v/>
      </c>
      <c r="T159" s="78" t="str">
        <f t="shared" si="24"/>
        <v>-- 予備24</v>
      </c>
      <c r="U159" s="4"/>
      <c r="AA159" s="4"/>
      <c r="AB159" s="4"/>
      <c r="AC159" s="4"/>
      <c r="AD159" s="4"/>
      <c r="AE159" s="4"/>
      <c r="AF159" s="4"/>
      <c r="AG159" s="4"/>
      <c r="AH159" s="4"/>
      <c r="AI159" s="4"/>
      <c r="AJ159" s="78" t="str">
        <f>IF(E159="○",IF(COUNTA(E$13:E159)=1,"",",")&amp;D159,"")</f>
        <v/>
      </c>
      <c r="AK159" s="4"/>
      <c r="AL159" s="4"/>
      <c r="AM159" s="4"/>
      <c r="AN159" s="4"/>
      <c r="AO159" s="4"/>
      <c r="AP159" s="4"/>
      <c r="AQ159" s="4"/>
      <c r="AR159" s="4"/>
      <c r="AS159" s="78" t="str">
        <f>"COMMENT ON COLUMN "&amp;エンティティ一覧!$O$2&amp;"."&amp;D$8&amp;"."&amp;D159&amp;" IS '"&amp;C159&amp;"';"</f>
        <v>COMMENT ON COLUMN milscm_2023_010.azn_202310_backup_mt_shinryo_koi_fuka.reserve24 IS '予備24';</v>
      </c>
    </row>
    <row r="160" spans="1:45" s="25" customFormat="1">
      <c r="A160" s="4"/>
      <c r="B160" s="21">
        <f t="shared" si="2"/>
        <v>148</v>
      </c>
      <c r="C160" s="6" t="s">
        <v>2433</v>
      </c>
      <c r="D160" s="6" t="s">
        <v>2434</v>
      </c>
      <c r="E160" s="8"/>
      <c r="F160" s="7" t="s">
        <v>1782</v>
      </c>
      <c r="G160" s="7" t="str">
        <f t="shared" si="19"/>
        <v>text</v>
      </c>
      <c r="H160" s="26"/>
      <c r="I160" s="10"/>
      <c r="J160" s="11" t="s">
        <v>2441</v>
      </c>
      <c r="M160" s="4"/>
      <c r="N160" s="78"/>
      <c r="O160" s="78"/>
      <c r="P160" s="78" t="str">
        <f t="shared" si="20"/>
        <v>,reserve25</v>
      </c>
      <c r="Q160" s="78" t="str">
        <f t="shared" si="21"/>
        <v>TEXT</v>
      </c>
      <c r="R160" s="78" t="str">
        <f t="shared" si="22"/>
        <v/>
      </c>
      <c r="S160" s="78" t="str">
        <f t="shared" si="23"/>
        <v/>
      </c>
      <c r="T160" s="78" t="str">
        <f t="shared" si="24"/>
        <v>-- 予備25</v>
      </c>
      <c r="U160" s="4"/>
      <c r="AA160" s="4"/>
      <c r="AB160" s="4"/>
      <c r="AC160" s="4"/>
      <c r="AD160" s="4"/>
      <c r="AE160" s="4"/>
      <c r="AF160" s="4"/>
      <c r="AG160" s="4"/>
      <c r="AH160" s="4"/>
      <c r="AI160" s="4"/>
      <c r="AJ160" s="78" t="str">
        <f>IF(E160="○",IF(COUNTA(E$13:E160)=1,"",",")&amp;D160,"")</f>
        <v/>
      </c>
      <c r="AK160" s="4"/>
      <c r="AL160" s="4"/>
      <c r="AM160" s="4"/>
      <c r="AN160" s="4"/>
      <c r="AO160" s="4"/>
      <c r="AP160" s="4"/>
      <c r="AQ160" s="4"/>
      <c r="AR160" s="4"/>
      <c r="AS160" s="78" t="str">
        <f>"COMMENT ON COLUMN "&amp;エンティティ一覧!$O$2&amp;"."&amp;D$8&amp;"."&amp;D160&amp;" IS '"&amp;C160&amp;"';"</f>
        <v>COMMENT ON COLUMN milscm_2023_010.azn_202310_backup_mt_shinryo_koi_fuka.reserve25 IS '予備25';</v>
      </c>
    </row>
    <row r="161" spans="1:52" s="25" customFormat="1">
      <c r="A161" s="4"/>
      <c r="B161" s="21">
        <f t="shared" si="2"/>
        <v>149</v>
      </c>
      <c r="C161" s="6" t="s">
        <v>2435</v>
      </c>
      <c r="D161" s="6" t="s">
        <v>2436</v>
      </c>
      <c r="E161" s="8"/>
      <c r="F161" s="7" t="s">
        <v>1782</v>
      </c>
      <c r="G161" s="7" t="str">
        <f t="shared" si="19"/>
        <v>text</v>
      </c>
      <c r="H161" s="26"/>
      <c r="I161" s="10"/>
      <c r="J161" s="11" t="s">
        <v>2441</v>
      </c>
      <c r="M161" s="4"/>
      <c r="N161" s="78"/>
      <c r="O161" s="78"/>
      <c r="P161" s="78" t="str">
        <f t="shared" si="20"/>
        <v>,reserve26</v>
      </c>
      <c r="Q161" s="78" t="str">
        <f t="shared" si="21"/>
        <v>TEXT</v>
      </c>
      <c r="R161" s="78" t="str">
        <f t="shared" si="22"/>
        <v/>
      </c>
      <c r="S161" s="78" t="str">
        <f t="shared" si="23"/>
        <v/>
      </c>
      <c r="T161" s="78" t="str">
        <f t="shared" si="24"/>
        <v>-- 予備26</v>
      </c>
      <c r="U161" s="4"/>
      <c r="AA161" s="4"/>
      <c r="AB161" s="4"/>
      <c r="AC161" s="4"/>
      <c r="AD161" s="4"/>
      <c r="AE161" s="4"/>
      <c r="AF161" s="4"/>
      <c r="AG161" s="4"/>
      <c r="AH161" s="4"/>
      <c r="AI161" s="4"/>
      <c r="AJ161" s="78" t="str">
        <f>IF(E161="○",IF(COUNTA(E$13:E161)=1,"",",")&amp;D161,"")</f>
        <v/>
      </c>
      <c r="AK161" s="4"/>
      <c r="AL161" s="4"/>
      <c r="AM161" s="4"/>
      <c r="AN161" s="4"/>
      <c r="AO161" s="4"/>
      <c r="AP161" s="4"/>
      <c r="AQ161" s="4"/>
      <c r="AR161" s="4"/>
      <c r="AS161" s="78" t="str">
        <f>"COMMENT ON COLUMN "&amp;エンティティ一覧!$O$2&amp;"."&amp;D$8&amp;"."&amp;D161&amp;" IS '"&amp;C161&amp;"';"</f>
        <v>COMMENT ON COLUMN milscm_2023_010.azn_202310_backup_mt_shinryo_koi_fuka.reserve26 IS '予備26';</v>
      </c>
    </row>
    <row r="162" spans="1:52" s="25" customFormat="1">
      <c r="A162" s="4"/>
      <c r="B162" s="21">
        <f t="shared" si="2"/>
        <v>150</v>
      </c>
      <c r="C162" s="6" t="s">
        <v>2437</v>
      </c>
      <c r="D162" s="6" t="s">
        <v>2438</v>
      </c>
      <c r="E162" s="8"/>
      <c r="F162" s="7" t="s">
        <v>1782</v>
      </c>
      <c r="G162" s="7" t="str">
        <f t="shared" si="19"/>
        <v>text</v>
      </c>
      <c r="H162" s="26"/>
      <c r="I162" s="10"/>
      <c r="J162" s="11" t="s">
        <v>2441</v>
      </c>
      <c r="M162" s="4"/>
      <c r="N162" s="78"/>
      <c r="O162" s="78"/>
      <c r="P162" s="78" t="str">
        <f t="shared" si="20"/>
        <v>,reserve27</v>
      </c>
      <c r="Q162" s="78" t="str">
        <f t="shared" si="21"/>
        <v>TEXT</v>
      </c>
      <c r="R162" s="78" t="str">
        <f t="shared" si="22"/>
        <v/>
      </c>
      <c r="S162" s="78" t="str">
        <f t="shared" si="23"/>
        <v/>
      </c>
      <c r="T162" s="78" t="str">
        <f t="shared" si="24"/>
        <v>-- 予備27</v>
      </c>
      <c r="U162" s="4"/>
      <c r="AA162" s="4"/>
      <c r="AB162" s="4"/>
      <c r="AC162" s="4"/>
      <c r="AD162" s="4"/>
      <c r="AE162" s="4"/>
      <c r="AF162" s="4"/>
      <c r="AG162" s="4"/>
      <c r="AH162" s="4"/>
      <c r="AI162" s="4"/>
      <c r="AJ162" s="78" t="str">
        <f>IF(E162="○",IF(COUNTA(E$13:E162)=1,"",",")&amp;D162,"")</f>
        <v/>
      </c>
      <c r="AK162" s="4"/>
      <c r="AL162" s="4"/>
      <c r="AM162" s="4"/>
      <c r="AN162" s="4"/>
      <c r="AO162" s="4"/>
      <c r="AP162" s="4"/>
      <c r="AQ162" s="4"/>
      <c r="AR162" s="4"/>
      <c r="AS162" s="78" t="str">
        <f>"COMMENT ON COLUMN "&amp;エンティティ一覧!$O$2&amp;"."&amp;D$8&amp;"."&amp;D162&amp;" IS '"&amp;C162&amp;"';"</f>
        <v>COMMENT ON COLUMN milscm_2023_010.azn_202310_backup_mt_shinryo_koi_fuka.reserve27 IS '予備27';</v>
      </c>
    </row>
    <row r="163" spans="1:52" s="25" customFormat="1" ht="19.5" thickBot="1">
      <c r="A163" s="4"/>
      <c r="B163" s="27">
        <f>ROW()-12</f>
        <v>151</v>
      </c>
      <c r="C163" s="57" t="s">
        <v>2093</v>
      </c>
      <c r="D163" s="57" t="s">
        <v>1926</v>
      </c>
      <c r="E163" s="56" t="s">
        <v>127</v>
      </c>
      <c r="F163" s="56" t="s">
        <v>1782</v>
      </c>
      <c r="G163" s="56" t="str">
        <f t="shared" si="3"/>
        <v>text</v>
      </c>
      <c r="H163" s="59"/>
      <c r="I163" s="60" t="s">
        <v>127</v>
      </c>
      <c r="J163" s="64" t="s">
        <v>2444</v>
      </c>
      <c r="N163" s="78"/>
      <c r="O163" s="78"/>
      <c r="P163" s="78" t="str">
        <f t="shared" si="4"/>
        <v>,update_ymd</v>
      </c>
      <c r="Q163" s="78" t="str">
        <f t="shared" si="0"/>
        <v>TEXT</v>
      </c>
      <c r="R163" s="78" t="str">
        <f t="shared" si="1"/>
        <v/>
      </c>
      <c r="S163" s="78" t="str">
        <f t="shared" si="5"/>
        <v>NOT NULL</v>
      </c>
      <c r="T163" s="78" t="str">
        <f t="shared" si="6"/>
        <v>-- データ登録日</v>
      </c>
      <c r="U163" s="4"/>
      <c r="AA163" s="4"/>
      <c r="AB163" s="4"/>
      <c r="AC163" s="4"/>
      <c r="AD163" s="4"/>
      <c r="AE163" s="4"/>
      <c r="AF163" s="4"/>
      <c r="AG163" s="4"/>
      <c r="AH163" s="4"/>
      <c r="AI163" s="4"/>
      <c r="AJ163" s="78" t="str">
        <f>IF(E163="○",IF(COUNTA(E$13:E163)=1,"",",")&amp;D163,"")</f>
        <v>,update_ymd</v>
      </c>
      <c r="AK163" s="4"/>
      <c r="AL163" s="4"/>
      <c r="AM163" s="4"/>
      <c r="AN163" s="4"/>
      <c r="AO163" s="4"/>
      <c r="AP163" s="4"/>
      <c r="AQ163" s="4"/>
      <c r="AR163" s="4"/>
      <c r="AS163" s="78" t="str">
        <f>"COMMENT ON COLUMN "&amp;エンティティ一覧!$O$2&amp;"."&amp;D$8&amp;"."&amp;D163&amp;" IS '"&amp;C163&amp;"';"</f>
        <v>COMMENT ON COLUMN milscm_2023_010.azn_202310_backup_mt_shinryo_koi_fuka.update_ymd IS 'データ登録日';</v>
      </c>
    </row>
    <row r="164" spans="1:52">
      <c r="L164" s="25"/>
      <c r="M164" s="25"/>
      <c r="N164" s="78" t="s">
        <v>142</v>
      </c>
      <c r="O164" s="78"/>
      <c r="P164" s="78"/>
      <c r="Q164" s="78"/>
      <c r="R164" s="78"/>
      <c r="S164" s="78"/>
      <c r="T164" s="78"/>
      <c r="V164" s="25"/>
      <c r="W164" s="25"/>
      <c r="X164" s="25"/>
      <c r="Y164" s="25"/>
      <c r="Z164" s="25"/>
      <c r="AJ164" s="78"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100-000000000000}"/>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ENT_01_A3-16</v>
      </c>
      <c r="E6" s="239"/>
      <c r="F6" s="239"/>
      <c r="G6" s="239"/>
      <c r="H6" s="239"/>
      <c r="I6" s="239"/>
      <c r="J6" s="240"/>
    </row>
    <row r="7" spans="1:45">
      <c r="B7" s="228" t="s">
        <v>115</v>
      </c>
      <c r="C7" s="229"/>
      <c r="D7" s="230" t="s">
        <v>2445</v>
      </c>
      <c r="E7" s="231"/>
      <c r="F7" s="231"/>
      <c r="G7" s="231"/>
      <c r="H7" s="231"/>
      <c r="I7" s="231"/>
      <c r="J7" s="232"/>
    </row>
    <row r="8" spans="1:45">
      <c r="B8" s="228" t="s">
        <v>116</v>
      </c>
      <c r="C8" s="229"/>
      <c r="D8" s="230" t="str">
        <f>エンティティ一覧!AE2&amp;"_"&amp;D5&amp;"_mt_shori_shisetsu"</f>
        <v>azn_202310_backup_mt_shori_shisetsu</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milscm_2023_010.azn_202310_backup_mt_shori_shisetsu;</v>
      </c>
      <c r="O10" s="78"/>
      <c r="P10" s="78"/>
      <c r="Q10" s="78"/>
      <c r="R10" s="78"/>
      <c r="S10" s="78"/>
      <c r="T10" s="78"/>
      <c r="AJ10" s="78" t="str">
        <f>"ALTER TABLE ONLY "&amp;エンティティ一覧!$O$2&amp;"."&amp;D$8</f>
        <v>ALTER TABLE ONLY milscm_2023_010.azn_202310_backup_mt_shori_shisetsu</v>
      </c>
      <c r="AS10" s="78" t="str">
        <f>"ALTER TABLE "&amp;エンティティ一覧!$O$2&amp;"."&amp;D$8&amp;" OWNER TO pgmisgrp1;"</f>
        <v>ALTER TABLE milscm_2023_010.azn_202310_backup_mt_shori_shisetsu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milscm_2023_010.azn_202310_backup_mt_shori_shisetsu</v>
      </c>
      <c r="O11" s="78"/>
      <c r="P11" s="78"/>
      <c r="Q11" s="78"/>
      <c r="R11" s="78"/>
      <c r="S11" s="78"/>
      <c r="T11" s="78"/>
      <c r="AJ11" s="78" t="str">
        <f>"ADD CONSTRAINT "&amp;D$8&amp;"_pkey PRIMARY KEY"</f>
        <v>ADD CONSTRAINT azn_202310_backup_mt_shori_shisetsu_pkey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milscm_2023_010.azn_202310_backup_mt_shori_shisetsu IS 'バックアップ_処理対象施設マスタ';</v>
      </c>
    </row>
    <row r="13" spans="1:45" s="25" customFormat="1">
      <c r="A13" s="4"/>
      <c r="B13" s="21">
        <f>ROW()-12</f>
        <v>1</v>
      </c>
      <c r="C13" s="6" t="s">
        <v>2446</v>
      </c>
      <c r="D13" s="6" t="s">
        <v>128</v>
      </c>
      <c r="E13" s="8" t="s">
        <v>127</v>
      </c>
      <c r="F13" s="8" t="s">
        <v>1782</v>
      </c>
      <c r="G13" s="7" t="str">
        <f>IF(F13="フラグ","boolean",IF(F13="文字列","text",IF(F13="整数","integer",IF(F13="実数","numeric",""))))</f>
        <v>text</v>
      </c>
      <c r="H13" s="9"/>
      <c r="I13" s="10" t="s">
        <v>127</v>
      </c>
      <c r="J13" s="11"/>
      <c r="M13" s="4"/>
      <c r="N13" s="78"/>
      <c r="O13" s="78"/>
      <c r="P13" s="78" t="str">
        <f>IF(B13&lt;&gt;1,","&amp;D13,D13)</f>
        <v>facility_id</v>
      </c>
      <c r="Q13" s="78" t="str">
        <f t="shared" ref="Q13:Q22" si="0">UPPER(G13)</f>
        <v>TEXT</v>
      </c>
      <c r="R13" s="78" t="str">
        <f t="shared" ref="R13:R22"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milscm_2023_010.azn_202310_backup_mt_shori_shisetsu.facility_id IS '施設ID';</v>
      </c>
    </row>
    <row r="14" spans="1:45" s="25" customFormat="1">
      <c r="A14" s="4"/>
      <c r="B14" s="21">
        <f t="shared" ref="B14:B21" si="2">ROW()-12</f>
        <v>2</v>
      </c>
      <c r="C14" s="6" t="s">
        <v>2447</v>
      </c>
      <c r="D14" s="6" t="s">
        <v>2448</v>
      </c>
      <c r="E14" s="8"/>
      <c r="F14" s="7" t="s">
        <v>868</v>
      </c>
      <c r="G14" s="7" t="str">
        <f t="shared" ref="G14:G22" si="3">IF(F14="フラグ","boolean",IF(F14="文字列","text",IF(F14="整数","integer",IF(F14="実数","numeric",""))))</f>
        <v>text</v>
      </c>
      <c r="H14" s="26"/>
      <c r="I14" s="10" t="s">
        <v>127</v>
      </c>
      <c r="J14" s="11" t="s">
        <v>2466</v>
      </c>
      <c r="M14" s="4"/>
      <c r="N14" s="78"/>
      <c r="O14" s="78"/>
      <c r="P14" s="78" t="str">
        <f t="shared" ref="P14:P22" si="4">IF(B14&lt;&gt;1,","&amp;D14,D14)</f>
        <v>,facility_id_mml</v>
      </c>
      <c r="Q14" s="78" t="str">
        <f t="shared" si="0"/>
        <v>TEXT</v>
      </c>
      <c r="R14" s="78" t="str">
        <f t="shared" si="1"/>
        <v/>
      </c>
      <c r="S14" s="78" t="str">
        <f t="shared" ref="S14:S22" si="5">IF(I14="○","NOT NULL","")</f>
        <v>NOT NULL</v>
      </c>
      <c r="T14" s="78" t="str">
        <f t="shared" ref="T14:T22" si="6">"-- "&amp;C14</f>
        <v>-- 施設ID（MML）</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milscm_2023_010.azn_202310_backup_mt_shori_shisetsu.facility_id_mml IS '施設ID（MML）';</v>
      </c>
    </row>
    <row r="15" spans="1:45" s="25" customFormat="1">
      <c r="A15" s="4"/>
      <c r="B15" s="21">
        <f t="shared" si="2"/>
        <v>3</v>
      </c>
      <c r="C15" s="6" t="s">
        <v>2449</v>
      </c>
      <c r="D15" s="6" t="s">
        <v>2450</v>
      </c>
      <c r="E15" s="8"/>
      <c r="F15" s="7" t="s">
        <v>1782</v>
      </c>
      <c r="G15" s="7" t="str">
        <f t="shared" si="3"/>
        <v>text</v>
      </c>
      <c r="H15" s="26"/>
      <c r="I15" s="10" t="s">
        <v>127</v>
      </c>
      <c r="J15" s="11"/>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milscm_2023_010.azn_202310_backup_mt_shori_shisetsu.facility_name IS '施設名';</v>
      </c>
    </row>
    <row r="16" spans="1:45" s="25" customFormat="1" ht="37.5">
      <c r="A16" s="4"/>
      <c r="B16" s="21">
        <f t="shared" si="2"/>
        <v>4</v>
      </c>
      <c r="C16" s="6" t="s">
        <v>2451</v>
      </c>
      <c r="D16" s="6" t="s">
        <v>2452</v>
      </c>
      <c r="E16" s="8"/>
      <c r="F16" s="7" t="s">
        <v>1782</v>
      </c>
      <c r="G16" s="7" t="str">
        <f t="shared" si="3"/>
        <v>text</v>
      </c>
      <c r="H16" s="26"/>
      <c r="I16" s="10"/>
      <c r="J16" s="11" t="s">
        <v>2467</v>
      </c>
      <c r="M16" s="4"/>
      <c r="N16" s="78"/>
      <c r="O16" s="78"/>
      <c r="P16" s="78" t="str">
        <f t="shared" si="4"/>
        <v>,opt_out_ymd</v>
      </c>
      <c r="Q16" s="78" t="str">
        <f t="shared" si="0"/>
        <v>TEXT</v>
      </c>
      <c r="R16" s="78" t="str">
        <f t="shared" si="1"/>
        <v/>
      </c>
      <c r="S16" s="78" t="str">
        <f t="shared" si="5"/>
        <v/>
      </c>
      <c r="T16" s="78" t="str">
        <f t="shared" si="6"/>
        <v>-- オプトアウト通知開始年月日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milscm_2023_010.azn_202310_backup_mt_shori_shisetsu.opt_out_ymd IS 'オプトアウト通知開始年月日';</v>
      </c>
    </row>
    <row r="17" spans="1:52" s="25" customFormat="1">
      <c r="A17" s="4"/>
      <c r="B17" s="21">
        <f t="shared" si="2"/>
        <v>5</v>
      </c>
      <c r="C17" s="6" t="s">
        <v>2453</v>
      </c>
      <c r="D17" s="6" t="s">
        <v>2454</v>
      </c>
      <c r="E17" s="8"/>
      <c r="F17" s="7" t="s">
        <v>1782</v>
      </c>
      <c r="G17" s="7" t="str">
        <f t="shared" si="3"/>
        <v>text</v>
      </c>
      <c r="H17" s="26"/>
      <c r="I17" s="10"/>
      <c r="J17" s="11"/>
      <c r="M17" s="4"/>
      <c r="N17" s="78"/>
      <c r="O17" s="78"/>
      <c r="P17" s="78" t="str">
        <f t="shared" si="4"/>
        <v>,group_id_edit_kubun</v>
      </c>
      <c r="Q17" s="78" t="str">
        <f t="shared" si="0"/>
        <v>TEXT</v>
      </c>
      <c r="R17" s="78" t="str">
        <f t="shared" si="1"/>
        <v/>
      </c>
      <c r="S17" s="78" t="str">
        <f t="shared" si="5"/>
        <v/>
      </c>
      <c r="T17" s="78" t="str">
        <f t="shared" si="6"/>
        <v>-- 紐付けID編集区分</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milscm_2023_010.azn_202310_backup_mt_shori_shisetsu.group_id_edit_kubun IS '紐付けID編集区分';</v>
      </c>
    </row>
    <row r="18" spans="1:52" s="25" customFormat="1" ht="37.5">
      <c r="A18" s="4"/>
      <c r="B18" s="21">
        <f t="shared" si="2"/>
        <v>6</v>
      </c>
      <c r="C18" s="6" t="s">
        <v>2455</v>
      </c>
      <c r="D18" s="6" t="s">
        <v>2456</v>
      </c>
      <c r="E18" s="8"/>
      <c r="F18" s="7" t="s">
        <v>868</v>
      </c>
      <c r="G18" s="7" t="str">
        <f t="shared" ref="G18:G20" si="7">IF(F18="フラグ","boolean",IF(F18="文字列","text",IF(F18="整数","integer",IF(F18="実数","numeric",""))))</f>
        <v>text</v>
      </c>
      <c r="H18" s="26"/>
      <c r="I18" s="10"/>
      <c r="J18" s="11" t="s">
        <v>2468</v>
      </c>
      <c r="M18" s="4"/>
      <c r="N18" s="78"/>
      <c r="O18" s="78"/>
      <c r="P18" s="78" t="str">
        <f t="shared" ref="P18:P20" si="8">IF(B18&lt;&gt;1,","&amp;D18,D18)</f>
        <v>,facility_contract_start</v>
      </c>
      <c r="Q18" s="78" t="str">
        <f t="shared" ref="Q18:Q20" si="9">UPPER(G18)</f>
        <v>TEXT</v>
      </c>
      <c r="R18" s="78" t="str">
        <f t="shared" ref="R18:R20" si="10">IF(H18&lt;&gt;"","default "&amp;IF(G18="text","'"&amp;H18&amp;"'",H18),"")</f>
        <v/>
      </c>
      <c r="S18" s="78" t="str">
        <f t="shared" ref="S18:S20" si="11">IF(I18="○","NOT NULL","")</f>
        <v/>
      </c>
      <c r="T18" s="78" t="str">
        <f t="shared" ref="T18:T20" si="12">"-- "&amp;C18</f>
        <v>-- 施設データ提供開始日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milscm_2023_010.azn_202310_backup_mt_shori_shisetsu.facility_contract_start IS '施設データ提供開始日';</v>
      </c>
    </row>
    <row r="19" spans="1:52" s="25" customFormat="1" ht="56.25">
      <c r="A19" s="4"/>
      <c r="B19" s="21">
        <f t="shared" si="2"/>
        <v>7</v>
      </c>
      <c r="C19" s="6" t="s">
        <v>2457</v>
      </c>
      <c r="D19" s="6" t="s">
        <v>2458</v>
      </c>
      <c r="E19" s="8"/>
      <c r="F19" s="7" t="s">
        <v>868</v>
      </c>
      <c r="G19" s="7" t="str">
        <f t="shared" si="7"/>
        <v>text</v>
      </c>
      <c r="H19" s="26"/>
      <c r="I19" s="10"/>
      <c r="J19" s="11" t="s">
        <v>2469</v>
      </c>
      <c r="M19" s="4"/>
      <c r="N19" s="78"/>
      <c r="O19" s="78"/>
      <c r="P19" s="78" t="str">
        <f t="shared" si="8"/>
        <v>,facility_contract_end</v>
      </c>
      <c r="Q19" s="78" t="str">
        <f t="shared" si="9"/>
        <v>TEXT</v>
      </c>
      <c r="R19" s="78" t="str">
        <f t="shared" si="10"/>
        <v/>
      </c>
      <c r="S19" s="78" t="str">
        <f t="shared" si="11"/>
        <v/>
      </c>
      <c r="T19" s="78" t="str">
        <f t="shared" si="12"/>
        <v>-- 施設データ提供終了日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milscm_2023_010.azn_202310_backup_mt_shori_shisetsu.facility_contract_end IS '施設データ提供終了日';</v>
      </c>
    </row>
    <row r="20" spans="1:52" s="25" customFormat="1">
      <c r="A20" s="4"/>
      <c r="B20" s="21">
        <f t="shared" si="2"/>
        <v>8</v>
      </c>
      <c r="C20" s="6" t="s">
        <v>2459</v>
      </c>
      <c r="D20" s="6" t="s">
        <v>2460</v>
      </c>
      <c r="E20" s="8"/>
      <c r="F20" s="7" t="s">
        <v>1892</v>
      </c>
      <c r="G20" s="7" t="str">
        <f t="shared" si="7"/>
        <v>integer</v>
      </c>
      <c r="H20" s="26">
        <v>0</v>
      </c>
      <c r="I20" s="10"/>
      <c r="J20" s="11"/>
      <c r="M20" s="4"/>
      <c r="N20" s="78"/>
      <c r="O20" s="78"/>
      <c r="P20" s="78" t="str">
        <f t="shared" si="8"/>
        <v>,size</v>
      </c>
      <c r="Q20" s="78" t="str">
        <f t="shared" si="9"/>
        <v>INTEGER</v>
      </c>
      <c r="R20" s="78" t="str">
        <f t="shared" si="10"/>
        <v>default 0</v>
      </c>
      <c r="S20" s="78" t="str">
        <f t="shared" si="11"/>
        <v/>
      </c>
      <c r="T20" s="78" t="str">
        <f t="shared" si="12"/>
        <v>-- 施設規模</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milscm_2023_010.azn_202310_backup_mt_shori_shisetsu.size IS '施設規模';</v>
      </c>
    </row>
    <row r="21" spans="1:52" s="25" customFormat="1" ht="37.5">
      <c r="A21" s="4"/>
      <c r="B21" s="21">
        <f t="shared" si="2"/>
        <v>9</v>
      </c>
      <c r="C21" s="6" t="s">
        <v>2461</v>
      </c>
      <c r="D21" s="6" t="s">
        <v>2462</v>
      </c>
      <c r="E21" s="8"/>
      <c r="F21" s="7" t="s">
        <v>2463</v>
      </c>
      <c r="G21" s="7" t="str">
        <f t="shared" si="3"/>
        <v>boolean</v>
      </c>
      <c r="H21" s="26" t="s">
        <v>2470</v>
      </c>
      <c r="I21" s="10" t="s">
        <v>127</v>
      </c>
      <c r="J21" s="11" t="s">
        <v>2471</v>
      </c>
      <c r="M21" s="4"/>
      <c r="N21" s="78"/>
      <c r="O21" s="78"/>
      <c r="P21" s="78" t="str">
        <f t="shared" si="4"/>
        <v>,shori_f</v>
      </c>
      <c r="Q21" s="78" t="str">
        <f t="shared" si="0"/>
        <v>BOOLEAN</v>
      </c>
      <c r="R21" s="78" t="str">
        <f t="shared" si="1"/>
        <v>default TRUE</v>
      </c>
      <c r="S21" s="78" t="str">
        <f t="shared" si="5"/>
        <v>NOT NULL</v>
      </c>
      <c r="T21" s="78" t="str">
        <f t="shared" si="6"/>
        <v>-- データ取得対象フラグ</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milscm_2023_010.azn_202310_backup_mt_shori_shisetsu.shori_f IS 'データ取得対象フラグ';</v>
      </c>
    </row>
    <row r="22" spans="1:52" s="25" customFormat="1" ht="38.25" thickBot="1">
      <c r="A22" s="4"/>
      <c r="B22" s="27">
        <f>ROW()-12</f>
        <v>10</v>
      </c>
      <c r="C22" s="57" t="s">
        <v>2464</v>
      </c>
      <c r="D22" s="57" t="s">
        <v>2465</v>
      </c>
      <c r="E22" s="56"/>
      <c r="F22" s="56" t="s">
        <v>2463</v>
      </c>
      <c r="G22" s="56" t="str">
        <f t="shared" si="3"/>
        <v>boolean</v>
      </c>
      <c r="H22" s="59" t="s">
        <v>2472</v>
      </c>
      <c r="I22" s="60" t="s">
        <v>127</v>
      </c>
      <c r="J22" s="64" t="s">
        <v>2473</v>
      </c>
      <c r="N22" s="78"/>
      <c r="O22" s="78"/>
      <c r="P22" s="78" t="str">
        <f t="shared" si="4"/>
        <v>,feasibility_f</v>
      </c>
      <c r="Q22" s="78" t="str">
        <f t="shared" si="0"/>
        <v>BOOLEAN</v>
      </c>
      <c r="R22" s="78" t="str">
        <f t="shared" si="1"/>
        <v>default FALSE</v>
      </c>
      <c r="S22" s="78" t="str">
        <f t="shared" si="5"/>
        <v>NOT NULL</v>
      </c>
      <c r="T22" s="78" t="str">
        <f t="shared" si="6"/>
        <v>-- フィジビリティ対象フラグ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milscm_2023_010.azn_202310_backup_mt_shori_shisetsu.feasibility_f IS 'フィジビリティ対象フラグ';</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200-000000000000}"/>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AZ4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ENT_01_A3-17</v>
      </c>
      <c r="E6" s="239"/>
      <c r="F6" s="239"/>
      <c r="G6" s="239"/>
      <c r="H6" s="239"/>
      <c r="I6" s="239"/>
      <c r="J6" s="240"/>
    </row>
    <row r="7" spans="1:45">
      <c r="B7" s="228" t="s">
        <v>115</v>
      </c>
      <c r="C7" s="229"/>
      <c r="D7" s="230" t="s">
        <v>2474</v>
      </c>
      <c r="E7" s="231"/>
      <c r="F7" s="231"/>
      <c r="G7" s="231"/>
      <c r="H7" s="231"/>
      <c r="I7" s="231"/>
      <c r="J7" s="232"/>
    </row>
    <row r="8" spans="1:45">
      <c r="B8" s="228" t="s">
        <v>116</v>
      </c>
      <c r="C8" s="229"/>
      <c r="D8" s="230" t="str">
        <f>エンティティ一覧!AE2&amp;"_"&amp;D5&amp;"_mt_shori_shisetsu_manage"</f>
        <v>azn_202310_backup_mt_shori_shisetsu_manage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milscm_2023_010.azn_202310_backup_mt_shori_shisetsu_manage;</v>
      </c>
      <c r="O10" s="78"/>
      <c r="P10" s="78"/>
      <c r="Q10" s="78"/>
      <c r="R10" s="78"/>
      <c r="S10" s="78"/>
      <c r="T10" s="78"/>
      <c r="AJ10" s="78" t="str">
        <f>"ALTER TABLE ONLY "&amp;エンティティ一覧!$O$2&amp;"."&amp;D$8</f>
        <v>ALTER TABLE ONLY milscm_2023_010.azn_202310_backup_mt_shori_shisetsu_manage</v>
      </c>
      <c r="AS10" s="78" t="str">
        <f>"ALTER TABLE "&amp;エンティティ一覧!$O$2&amp;"."&amp;D$8&amp;" OWNER TO pgmisgrp1;"</f>
        <v>ALTER TABLE milscm_2023_010.azn_202310_backup_mt_shori_shisetsu_manage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milscm_2023_010.azn_202310_backup_mt_shori_shisetsu_manage</v>
      </c>
      <c r="O11" s="78"/>
      <c r="P11" s="78"/>
      <c r="Q11" s="78"/>
      <c r="R11" s="78"/>
      <c r="S11" s="78"/>
      <c r="T11" s="78"/>
      <c r="AJ11" s="78" t="str">
        <f>"ADD CONSTRAINT "&amp;D$8&amp;"_pkey PRIMARY KEY"</f>
        <v>ADD CONSTRAINT azn_202310_backup_mt_shori_shisetsu_manage_pkey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milscm_2023_010.azn_202310_backup_mt_shori_shisetsu_manage IS 'バックアップ_処理対象施設マスタ管理';</v>
      </c>
    </row>
    <row r="13" spans="1:45" s="25" customFormat="1">
      <c r="A13" s="4"/>
      <c r="B13" s="21">
        <f>ROW()-12</f>
        <v>1</v>
      </c>
      <c r="C13" s="6" t="s">
        <v>2446</v>
      </c>
      <c r="D13" s="6" t="s">
        <v>128</v>
      </c>
      <c r="E13" s="8" t="s">
        <v>127</v>
      </c>
      <c r="F13" s="8" t="s">
        <v>1782</v>
      </c>
      <c r="G13" s="7" t="str">
        <f>IF(F13="フラグ","boolean",IF(F13="文字列","text",IF(F13="整数","integer",IF(F13="実数","numeric",""))))</f>
        <v>text</v>
      </c>
      <c r="H13" s="9"/>
      <c r="I13" s="10" t="s">
        <v>127</v>
      </c>
      <c r="J13" s="11"/>
      <c r="M13" s="4"/>
      <c r="N13" s="78"/>
      <c r="O13" s="78"/>
      <c r="P13" s="78" t="str">
        <f>IF(B13&lt;&gt;1,","&amp;D13,D13)</f>
        <v>facility_id</v>
      </c>
      <c r="Q13" s="78" t="str">
        <f t="shared" ref="Q13:Q18" si="0">UPPER(G13)</f>
        <v>TEXT</v>
      </c>
      <c r="R13" s="78" t="str">
        <f t="shared" ref="R13:R18"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milscm_2023_010.azn_202310_backup_mt_shori_shisetsu_manage.facility_id IS '施設ID';</v>
      </c>
    </row>
    <row r="14" spans="1:45" s="25" customFormat="1" ht="37.5">
      <c r="A14" s="4"/>
      <c r="B14" s="21">
        <f t="shared" ref="B14:B17" si="2">ROW()-12</f>
        <v>2</v>
      </c>
      <c r="C14" s="6" t="s">
        <v>2455</v>
      </c>
      <c r="D14" s="6" t="s">
        <v>2456</v>
      </c>
      <c r="E14" s="8"/>
      <c r="F14" s="7" t="s">
        <v>868</v>
      </c>
      <c r="G14" s="7" t="str">
        <f t="shared" ref="G14:G18" si="3">IF(F14="フラグ","boolean",IF(F14="文字列","text",IF(F14="整数","integer",IF(F14="実数","numeric",""))))</f>
        <v>text</v>
      </c>
      <c r="H14" s="26"/>
      <c r="I14" s="10"/>
      <c r="J14" s="11" t="s">
        <v>2468</v>
      </c>
      <c r="M14" s="4"/>
      <c r="N14" s="78"/>
      <c r="O14" s="78"/>
      <c r="P14" s="78" t="str">
        <f t="shared" ref="P14:P18" si="4">IF(B14&lt;&gt;1,","&amp;D14,D14)</f>
        <v>,facility_contract_start</v>
      </c>
      <c r="Q14" s="78" t="str">
        <f t="shared" si="0"/>
        <v>TEXT</v>
      </c>
      <c r="R14" s="78" t="str">
        <f t="shared" si="1"/>
        <v/>
      </c>
      <c r="S14" s="78" t="str">
        <f t="shared" ref="S14:S18" si="5">IF(I14="○","NOT NULL","")</f>
        <v/>
      </c>
      <c r="T14" s="78" t="str">
        <f t="shared" ref="T14:T18" si="6">"-- "&amp;C14</f>
        <v>-- 施設データ提供開始日</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milscm_2023_010.azn_202310_backup_mt_shori_shisetsu_manage.facility_contract_start IS '施設データ提供開始日';</v>
      </c>
    </row>
    <row r="15" spans="1:45" s="25" customFormat="1" ht="56.25">
      <c r="A15" s="4"/>
      <c r="B15" s="21">
        <f t="shared" si="2"/>
        <v>3</v>
      </c>
      <c r="C15" s="6" t="s">
        <v>2457</v>
      </c>
      <c r="D15" s="6" t="s">
        <v>2458</v>
      </c>
      <c r="E15" s="8"/>
      <c r="F15" s="7" t="s">
        <v>868</v>
      </c>
      <c r="G15" s="7" t="str">
        <f t="shared" si="3"/>
        <v>text</v>
      </c>
      <c r="H15" s="26"/>
      <c r="I15" s="10"/>
      <c r="J15" s="11" t="s">
        <v>2469</v>
      </c>
      <c r="M15" s="4"/>
      <c r="N15" s="78"/>
      <c r="O15" s="78"/>
      <c r="P15" s="78" t="str">
        <f t="shared" si="4"/>
        <v>,facility_contract_end</v>
      </c>
      <c r="Q15" s="78" t="str">
        <f t="shared" si="0"/>
        <v>TEXT</v>
      </c>
      <c r="R15" s="78" t="str">
        <f t="shared" si="1"/>
        <v/>
      </c>
      <c r="S15" s="78" t="str">
        <f t="shared" si="5"/>
        <v/>
      </c>
      <c r="T15" s="78" t="str">
        <f t="shared" si="6"/>
        <v>-- 施設データ提供終了日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milscm_2023_010.azn_202310_backup_mt_shori_shisetsu_manage.facility_contract_end IS '施設データ提供終了日';</v>
      </c>
    </row>
    <row r="16" spans="1:45" s="25" customFormat="1">
      <c r="A16" s="4"/>
      <c r="B16" s="21">
        <f t="shared" si="2"/>
        <v>4</v>
      </c>
      <c r="C16" s="6" t="s">
        <v>2459</v>
      </c>
      <c r="D16" s="6" t="s">
        <v>2460</v>
      </c>
      <c r="E16" s="8"/>
      <c r="F16" s="7" t="s">
        <v>1892</v>
      </c>
      <c r="G16" s="7" t="str">
        <f t="shared" si="3"/>
        <v>integer</v>
      </c>
      <c r="H16" s="26">
        <v>0</v>
      </c>
      <c r="I16" s="10"/>
      <c r="J16" s="11"/>
      <c r="M16" s="4"/>
      <c r="N16" s="78"/>
      <c r="O16" s="78"/>
      <c r="P16" s="78" t="str">
        <f t="shared" si="4"/>
        <v>,size</v>
      </c>
      <c r="Q16" s="78" t="str">
        <f t="shared" si="0"/>
        <v>INTEGER</v>
      </c>
      <c r="R16" s="78" t="str">
        <f t="shared" si="1"/>
        <v>default 0</v>
      </c>
      <c r="S16" s="78" t="str">
        <f t="shared" si="5"/>
        <v/>
      </c>
      <c r="T16" s="78" t="str">
        <f t="shared" si="6"/>
        <v>-- 施設規模</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milscm_2023_010.azn_202310_backup_mt_shori_shisetsu_manage.size IS '施設規模';</v>
      </c>
    </row>
    <row r="17" spans="1:52" s="25" customFormat="1" ht="37.5">
      <c r="A17" s="4"/>
      <c r="B17" s="21">
        <f t="shared" si="2"/>
        <v>5</v>
      </c>
      <c r="C17" s="6" t="s">
        <v>2461</v>
      </c>
      <c r="D17" s="6" t="s">
        <v>2462</v>
      </c>
      <c r="E17" s="8"/>
      <c r="F17" s="7" t="s">
        <v>2463</v>
      </c>
      <c r="G17" s="7" t="str">
        <f t="shared" si="3"/>
        <v>boolean</v>
      </c>
      <c r="H17" s="26" t="s">
        <v>2470</v>
      </c>
      <c r="I17" s="10" t="s">
        <v>127</v>
      </c>
      <c r="J17" s="11" t="s">
        <v>2471</v>
      </c>
      <c r="M17" s="4"/>
      <c r="N17" s="78"/>
      <c r="O17" s="78"/>
      <c r="P17" s="78" t="str">
        <f t="shared" si="4"/>
        <v>,shori_f</v>
      </c>
      <c r="Q17" s="78" t="str">
        <f t="shared" si="0"/>
        <v>BOOLEAN</v>
      </c>
      <c r="R17" s="78" t="str">
        <f t="shared" si="1"/>
        <v>default TRUE</v>
      </c>
      <c r="S17" s="78" t="str">
        <f t="shared" si="5"/>
        <v>NOT NULL</v>
      </c>
      <c r="T17" s="78" t="str">
        <f t="shared" si="6"/>
        <v>-- データ取得対象フラグ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milscm_2023_010.azn_202310_backup_mt_shori_shisetsu_manage.shori_f IS 'データ取得対象フラグ';</v>
      </c>
    </row>
    <row r="18" spans="1:52" s="25" customFormat="1" ht="38.25" thickBot="1">
      <c r="A18" s="4"/>
      <c r="B18" s="27">
        <f>ROW()-12</f>
        <v>6</v>
      </c>
      <c r="C18" s="57" t="s">
        <v>2464</v>
      </c>
      <c r="D18" s="57" t="s">
        <v>2465</v>
      </c>
      <c r="E18" s="56"/>
      <c r="F18" s="56" t="s">
        <v>2463</v>
      </c>
      <c r="G18" s="56" t="str">
        <f t="shared" si="3"/>
        <v>boolean</v>
      </c>
      <c r="H18" s="59" t="s">
        <v>2472</v>
      </c>
      <c r="I18" s="60" t="s">
        <v>127</v>
      </c>
      <c r="J18" s="64" t="s">
        <v>2473</v>
      </c>
      <c r="N18" s="78"/>
      <c r="O18" s="78"/>
      <c r="P18" s="78" t="str">
        <f t="shared" si="4"/>
        <v>,feasibility_f</v>
      </c>
      <c r="Q18" s="78" t="str">
        <f t="shared" si="0"/>
        <v>BOOLEAN</v>
      </c>
      <c r="R18" s="78" t="str">
        <f t="shared" si="1"/>
        <v>default FALSE</v>
      </c>
      <c r="S18" s="78" t="str">
        <f t="shared" si="5"/>
        <v>NOT NULL</v>
      </c>
      <c r="T18" s="78" t="str">
        <f t="shared" si="6"/>
        <v>-- フィジビリティ対象フラグ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milscm_2023_010.azn_202310_backup_mt_shori_shisetsu_manage.feasibility_f IS 'フィジビリティ対象フラグ';</v>
      </c>
    </row>
    <row r="19" spans="1:52">
      <c r="L19" s="25"/>
      <c r="M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300-000000000000}"/>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AZ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ENT_01_A3-18</v>
      </c>
      <c r="E6" s="239"/>
      <c r="F6" s="239"/>
      <c r="G6" s="239"/>
      <c r="H6" s="239"/>
      <c r="I6" s="239"/>
      <c r="J6" s="240"/>
    </row>
    <row r="7" spans="1:45">
      <c r="B7" s="228" t="s">
        <v>115</v>
      </c>
      <c r="C7" s="229"/>
      <c r="D7" s="230" t="s">
        <v>3332</v>
      </c>
      <c r="E7" s="231"/>
      <c r="F7" s="231"/>
      <c r="G7" s="231"/>
      <c r="H7" s="231"/>
      <c r="I7" s="231"/>
      <c r="J7" s="232"/>
    </row>
    <row r="8" spans="1:45">
      <c r="B8" s="228" t="s">
        <v>116</v>
      </c>
      <c r="C8" s="229"/>
      <c r="D8" s="230" t="str">
        <f>エンティティ一覧!AE2&amp;"_"&amp;D5&amp;"_mt_iyakuhin"</f>
        <v>azn_202310_backup_mt_iyakuhin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milscm_2023_010.azn_202310_backup_mt_iyakuhin;</v>
      </c>
      <c r="O10" s="78"/>
      <c r="P10" s="78"/>
      <c r="Q10" s="78"/>
      <c r="R10" s="78"/>
      <c r="S10" s="78"/>
      <c r="T10" s="78"/>
      <c r="AJ10" s="78" t="str">
        <f>"ALTER TABLE ONLY "&amp;エンティティ一覧!$O$2&amp;"."&amp;D$8</f>
        <v>ALTER TABLE ONLY milscm_2023_010.azn_202310_backup_mt_iyakuhin</v>
      </c>
      <c r="AS10" s="78" t="str">
        <f>"ALTER TABLE "&amp;エンティティ一覧!$O$2&amp;"."&amp;D$8&amp;" OWNER TO pgmisgrp1;"</f>
        <v>ALTER TABLE milscm_2023_010.azn_202310_backup_mt_iyakuhin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milscm_2023_010.azn_202310_backup_mt_iyakuhin</v>
      </c>
      <c r="O11" s="78"/>
      <c r="P11" s="78"/>
      <c r="Q11" s="78"/>
      <c r="R11" s="78"/>
      <c r="S11" s="78"/>
      <c r="T11" s="78"/>
      <c r="AJ11" s="78" t="str">
        <f>"ADD CONSTRAINT "&amp;D$8&amp;"_pkey PRIMARY KEY"</f>
        <v>ADD CONSTRAINT azn_202310_backup_mt_iyakuhin_pkey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 IS 'バックアップ_医薬品マスタ';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34" si="0">UPPER(G13)</f>
        <v>TEXT</v>
      </c>
      <c r="R13" s="78" t="str">
        <f t="shared" ref="R13:R3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milscm_2023_010.azn_202310_backup_mt_iyakuhin.sekoubi IS '施行日';</v>
      </c>
    </row>
    <row r="14" spans="1:45" s="25" customFormat="1">
      <c r="A14" s="4"/>
      <c r="B14" s="21">
        <f t="shared" ref="B14:B33" si="2">ROW()-12</f>
        <v>2</v>
      </c>
      <c r="C14" s="6" t="s">
        <v>3335</v>
      </c>
      <c r="D14" s="6" t="s">
        <v>2092</v>
      </c>
      <c r="E14" s="8" t="s">
        <v>127</v>
      </c>
      <c r="F14" s="7" t="s">
        <v>318</v>
      </c>
      <c r="G14" s="7" t="str">
        <f t="shared" ref="G14:G34" si="3">IF(F14="フラグ","boolean",IF(F14="文字列","text",IF(F14="整数","integer",IF(F14="実数","numeric",""))))</f>
        <v>text</v>
      </c>
      <c r="H14" s="26"/>
      <c r="I14" s="10" t="s">
        <v>127</v>
      </c>
      <c r="J14" s="11" t="s">
        <v>3360</v>
      </c>
      <c r="M14" s="4"/>
      <c r="N14" s="78"/>
      <c r="O14" s="78"/>
      <c r="P14" s="78" t="str">
        <f t="shared" ref="P14:P34" si="4">IF(B14&lt;&gt;1,","&amp;D14,D14)</f>
        <v>,koshin_kubun</v>
      </c>
      <c r="Q14" s="78" t="str">
        <f t="shared" si="0"/>
        <v>TEXT</v>
      </c>
      <c r="R14" s="78" t="str">
        <f t="shared" si="1"/>
        <v/>
      </c>
      <c r="S14" s="78" t="str">
        <f t="shared" ref="S14:S34" si="5">IF(I14="○","NOT NULL","")</f>
        <v>NOT NULL</v>
      </c>
      <c r="T14" s="78" t="str">
        <f t="shared" ref="T14:T3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milscm_2023_010.azn_202310_backup_mt_iyakuhin.iyakuhin_code IS '医薬品コード';</v>
      </c>
    </row>
    <row r="16" spans="1:45" s="25" customFormat="1">
      <c r="A16" s="4"/>
      <c r="B16" s="21">
        <f t="shared" si="2"/>
        <v>4</v>
      </c>
      <c r="C16" s="6" t="s">
        <v>2597</v>
      </c>
      <c r="D16" s="6" t="s">
        <v>3336</v>
      </c>
      <c r="E16" s="8"/>
      <c r="F16" s="7" t="s">
        <v>318</v>
      </c>
      <c r="G16" s="7" t="str">
        <f t="shared" si="3"/>
        <v>text</v>
      </c>
      <c r="H16" s="26"/>
      <c r="I16" s="10" t="s">
        <v>127</v>
      </c>
      <c r="J16" s="11"/>
      <c r="M16" s="4"/>
      <c r="N16" s="78"/>
      <c r="O16" s="78"/>
      <c r="P16" s="78" t="str">
        <f t="shared" si="4"/>
        <v>,yakko_bunrui1_code</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milscm_2023_010.azn_202310_backup_mt_iyakuhin.yakko_bunrui1_code IS '薬効分類1コード';</v>
      </c>
    </row>
    <row r="17" spans="1:45" s="25" customFormat="1">
      <c r="A17" s="4"/>
      <c r="B17" s="21">
        <f t="shared" si="2"/>
        <v>5</v>
      </c>
      <c r="C17" s="6" t="s">
        <v>2599</v>
      </c>
      <c r="D17" s="6" t="s">
        <v>3337</v>
      </c>
      <c r="E17" s="8"/>
      <c r="F17" s="7" t="s">
        <v>318</v>
      </c>
      <c r="G17" s="7" t="str">
        <f t="shared" si="3"/>
        <v>text</v>
      </c>
      <c r="H17" s="26"/>
      <c r="I17" s="10" t="s">
        <v>127</v>
      </c>
      <c r="J17" s="11"/>
      <c r="M17" s="4"/>
      <c r="N17" s="78"/>
      <c r="O17" s="78"/>
      <c r="P17" s="78" t="str">
        <f t="shared" si="4"/>
        <v>,yakko_bunrui2_code</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milscm_2023_010.azn_202310_backup_mt_iyakuhin.yakko_bunrui2_code IS '薬効分類2コード';</v>
      </c>
    </row>
    <row r="18" spans="1:45" s="25" customFormat="1">
      <c r="A18" s="4"/>
      <c r="B18" s="21">
        <f t="shared" si="2"/>
        <v>6</v>
      </c>
      <c r="C18" s="6" t="s">
        <v>2601</v>
      </c>
      <c r="D18" s="6" t="s">
        <v>3338</v>
      </c>
      <c r="E18" s="8"/>
      <c r="F18" s="7" t="s">
        <v>318</v>
      </c>
      <c r="G18" s="7" t="str">
        <f t="shared" ref="G18:G21" si="7">IF(F18="フラグ","boolean",IF(F18="文字列","text",IF(F18="整数","integer",IF(F18="実数","numeric",""))))</f>
        <v>text</v>
      </c>
      <c r="H18" s="26"/>
      <c r="I18" s="10" t="s">
        <v>127</v>
      </c>
      <c r="J18" s="11"/>
      <c r="M18" s="4"/>
      <c r="N18" s="78"/>
      <c r="O18" s="78"/>
      <c r="P18" s="78" t="str">
        <f t="shared" ref="P18:P21" si="8">IF(B18&lt;&gt;1,","&amp;D18,D18)</f>
        <v>,yakko_bunrui3_code</v>
      </c>
      <c r="Q18" s="78" t="str">
        <f t="shared" ref="Q18:Q21" si="9">UPPER(G18)</f>
        <v>TEXT</v>
      </c>
      <c r="R18" s="78" t="str">
        <f t="shared" ref="R18:R21" si="10">IF(H18&lt;&gt;"","default "&amp;IF(G18="text","'"&amp;H18&amp;"'",H18),"")</f>
        <v/>
      </c>
      <c r="S18" s="78" t="str">
        <f t="shared" ref="S18:S21" si="11">IF(I18="○","NOT NULL","")</f>
        <v>NOT NULL</v>
      </c>
      <c r="T18" s="78" t="str">
        <f t="shared" ref="T18:T21" si="12">"-- "&amp;C18</f>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milscm_2023_010.azn_202310_backup_mt_iyakuhin.yakko_bunrui3_code IS '薬効分類3コード';</v>
      </c>
    </row>
    <row r="19" spans="1:45" s="25" customFormat="1">
      <c r="A19" s="4"/>
      <c r="B19" s="21">
        <f t="shared" si="2"/>
        <v>7</v>
      </c>
      <c r="C19" s="6" t="s">
        <v>2603</v>
      </c>
      <c r="D19" s="6" t="s">
        <v>3339</v>
      </c>
      <c r="E19" s="8"/>
      <c r="F19" s="7" t="s">
        <v>318</v>
      </c>
      <c r="G19" s="7" t="str">
        <f t="shared" si="7"/>
        <v>text</v>
      </c>
      <c r="H19" s="26"/>
      <c r="I19" s="10" t="s">
        <v>127</v>
      </c>
      <c r="J19" s="11"/>
      <c r="M19" s="4"/>
      <c r="N19" s="78"/>
      <c r="O19" s="78"/>
      <c r="P19" s="78" t="str">
        <f t="shared" si="8"/>
        <v>,yakko_bunrui4_code</v>
      </c>
      <c r="Q19" s="78" t="str">
        <f t="shared" si="9"/>
        <v>TEXT</v>
      </c>
      <c r="R19" s="78" t="str">
        <f t="shared" si="10"/>
        <v/>
      </c>
      <c r="S19" s="78" t="str">
        <f t="shared" si="11"/>
        <v>NOT NULL</v>
      </c>
      <c r="T19" s="78" t="str">
        <f t="shared" si="12"/>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milscm_2023_010.azn_202310_backup_mt_iyakuhin.yakko_bunrui4_code IS '薬効分類4コード';</v>
      </c>
    </row>
    <row r="20" spans="1:45" s="25" customFormat="1">
      <c r="A20" s="4"/>
      <c r="B20" s="21">
        <f t="shared" si="2"/>
        <v>8</v>
      </c>
      <c r="C20" s="6" t="s">
        <v>2605</v>
      </c>
      <c r="D20" s="6" t="s">
        <v>3340</v>
      </c>
      <c r="E20" s="8"/>
      <c r="F20" s="7" t="s">
        <v>318</v>
      </c>
      <c r="G20" s="7" t="str">
        <f t="shared" si="7"/>
        <v>text</v>
      </c>
      <c r="H20" s="26"/>
      <c r="I20" s="10" t="s">
        <v>127</v>
      </c>
      <c r="J20" s="11"/>
      <c r="M20" s="4"/>
      <c r="N20" s="78"/>
      <c r="O20" s="78"/>
      <c r="P20" s="78" t="str">
        <f t="shared" si="8"/>
        <v>,yakko_bunrui5_code</v>
      </c>
      <c r="Q20" s="78" t="str">
        <f t="shared" si="9"/>
        <v>TEXT</v>
      </c>
      <c r="R20" s="78" t="str">
        <f t="shared" si="10"/>
        <v/>
      </c>
      <c r="S20" s="78" t="str">
        <f t="shared" si="11"/>
        <v>NOT NULL</v>
      </c>
      <c r="T20" s="78" t="str">
        <f t="shared" si="12"/>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milscm_2023_010.azn_202310_backup_mt_iyakuhin.yakko_bunrui5_code IS '薬効分類5コード';</v>
      </c>
    </row>
    <row r="21" spans="1:45" s="25" customFormat="1">
      <c r="A21" s="4"/>
      <c r="B21" s="21">
        <f t="shared" si="2"/>
        <v>9</v>
      </c>
      <c r="C21" s="6" t="s">
        <v>2607</v>
      </c>
      <c r="D21" s="6" t="s">
        <v>3341</v>
      </c>
      <c r="E21" s="8"/>
      <c r="F21" s="7" t="s">
        <v>318</v>
      </c>
      <c r="G21" s="7" t="str">
        <f t="shared" si="7"/>
        <v>text</v>
      </c>
      <c r="H21" s="26"/>
      <c r="I21" s="10" t="s">
        <v>127</v>
      </c>
      <c r="J21" s="11"/>
      <c r="M21" s="4"/>
      <c r="N21" s="78"/>
      <c r="O21" s="78"/>
      <c r="P21" s="78" t="str">
        <f t="shared" si="8"/>
        <v>,seizo_maker_code</v>
      </c>
      <c r="Q21" s="78" t="str">
        <f t="shared" si="9"/>
        <v>TEXT</v>
      </c>
      <c r="R21" s="78" t="str">
        <f t="shared" si="10"/>
        <v/>
      </c>
      <c r="S21" s="78" t="str">
        <f t="shared" si="11"/>
        <v>NOT NULL</v>
      </c>
      <c r="T21" s="78" t="str">
        <f t="shared" si="12"/>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milscm_2023_010.azn_202310_backup_mt_iyakuhin.seizo_maker_code IS '製造メーカコード';</v>
      </c>
    </row>
    <row r="22" spans="1:45" s="25" customFormat="1">
      <c r="A22" s="4"/>
      <c r="B22" s="21">
        <f t="shared" si="2"/>
        <v>10</v>
      </c>
      <c r="C22" s="6" t="s">
        <v>3342</v>
      </c>
      <c r="D22" s="6" t="s">
        <v>2159</v>
      </c>
      <c r="E22" s="8"/>
      <c r="F22" s="7" t="s">
        <v>318</v>
      </c>
      <c r="G22" s="7" t="str">
        <f t="shared" ref="G22:G32" si="13">IF(F22="フラグ","boolean",IF(F22="文字列","text",IF(F22="整数","integer",IF(F22="実数","numeric",""))))</f>
        <v>text</v>
      </c>
      <c r="H22" s="26"/>
      <c r="I22" s="10" t="s">
        <v>127</v>
      </c>
      <c r="J22" s="11"/>
      <c r="M22" s="4"/>
      <c r="N22" s="78"/>
      <c r="O22" s="78"/>
      <c r="P22" s="78" t="str">
        <f t="shared" ref="P22:P32" si="14">IF(B22&lt;&gt;1,","&amp;D22,D22)</f>
        <v>,iyakuhin_name</v>
      </c>
      <c r="Q22" s="78" t="str">
        <f t="shared" ref="Q22:Q32" si="15">UPPER(G22)</f>
        <v>TEXT</v>
      </c>
      <c r="R22" s="78" t="str">
        <f t="shared" ref="R22:R32" si="16">IF(H22&lt;&gt;"","default "&amp;IF(G22="text","'"&amp;H22&amp;"'",H22),"")</f>
        <v/>
      </c>
      <c r="S22" s="78" t="str">
        <f t="shared" ref="S22:S32" si="17">IF(I22="○","NOT NULL","")</f>
        <v>NOT NULL</v>
      </c>
      <c r="T22" s="78" t="str">
        <f t="shared" ref="T22:T32" si="18">"-- "&amp;C22</f>
        <v>-- 医薬品名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milscm_2023_010.azn_202310_backup_mt_iyakuhin.iyakuhin_name IS '医薬品名';</v>
      </c>
    </row>
    <row r="23" spans="1:45" s="25" customFormat="1">
      <c r="A23" s="4"/>
      <c r="B23" s="21">
        <f t="shared" si="2"/>
        <v>11</v>
      </c>
      <c r="C23" s="6" t="s">
        <v>2609</v>
      </c>
      <c r="D23" s="6" t="s">
        <v>2610</v>
      </c>
      <c r="E23" s="8"/>
      <c r="F23" s="7" t="s">
        <v>318</v>
      </c>
      <c r="G23" s="7" t="str">
        <f t="shared" si="13"/>
        <v>text</v>
      </c>
      <c r="H23" s="26"/>
      <c r="I23" s="10" t="s">
        <v>127</v>
      </c>
      <c r="J23" s="11"/>
      <c r="M23" s="4"/>
      <c r="N23" s="78"/>
      <c r="O23" s="78"/>
      <c r="P23" s="78" t="str">
        <f t="shared" si="14"/>
        <v>,iyakuhin_jpn_name</v>
      </c>
      <c r="Q23" s="78" t="str">
        <f t="shared" si="15"/>
        <v>TEXT</v>
      </c>
      <c r="R23" s="78" t="str">
        <f t="shared" si="16"/>
        <v/>
      </c>
      <c r="S23" s="78" t="str">
        <f t="shared" si="17"/>
        <v>NOT NULL</v>
      </c>
      <c r="T23" s="78" t="str">
        <f t="shared" si="18"/>
        <v>-- 医薬品日本語名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milscm_2023_010.azn_202310_backup_mt_iyakuhin.iyakuhin_jpn_name IS '医薬品日本語名';</v>
      </c>
    </row>
    <row r="24" spans="1:45" s="25" customFormat="1">
      <c r="A24" s="4"/>
      <c r="B24" s="21">
        <f t="shared" si="2"/>
        <v>12</v>
      </c>
      <c r="C24" s="6" t="s">
        <v>2627</v>
      </c>
      <c r="D24" s="6" t="s">
        <v>3343</v>
      </c>
      <c r="E24" s="8"/>
      <c r="F24" s="7" t="s">
        <v>318</v>
      </c>
      <c r="G24" s="7" t="str">
        <f t="shared" si="13"/>
        <v>text</v>
      </c>
      <c r="H24" s="26"/>
      <c r="I24" s="10" t="s">
        <v>127</v>
      </c>
      <c r="J24" s="11"/>
      <c r="M24" s="4"/>
      <c r="N24" s="78"/>
      <c r="O24" s="78"/>
      <c r="P24" s="78" t="str">
        <f t="shared" si="14"/>
        <v>,kohatsuhin_flag</v>
      </c>
      <c r="Q24" s="78" t="str">
        <f t="shared" si="15"/>
        <v>TEXT</v>
      </c>
      <c r="R24" s="78" t="str">
        <f t="shared" si="16"/>
        <v/>
      </c>
      <c r="S24" s="78" t="str">
        <f t="shared" si="17"/>
        <v>NOT NULL</v>
      </c>
      <c r="T24" s="78" t="str">
        <f t="shared" si="18"/>
        <v>-- 後発品フラグ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milscm_2023_010.azn_202310_backup_mt_iyakuhin.kohatsuhin_flag IS '後発品フラグ';</v>
      </c>
    </row>
    <row r="25" spans="1:45" s="25" customFormat="1">
      <c r="A25" s="4"/>
      <c r="B25" s="21">
        <f t="shared" si="2"/>
        <v>13</v>
      </c>
      <c r="C25" s="6" t="s">
        <v>3344</v>
      </c>
      <c r="D25" s="6" t="s">
        <v>3345</v>
      </c>
      <c r="E25" s="8"/>
      <c r="F25" s="7" t="s">
        <v>318</v>
      </c>
      <c r="G25" s="7" t="str">
        <f t="shared" si="13"/>
        <v>text</v>
      </c>
      <c r="H25" s="26"/>
      <c r="I25" s="10"/>
      <c r="J25" s="11"/>
      <c r="M25" s="4"/>
      <c r="N25" s="78"/>
      <c r="O25" s="78"/>
      <c r="P25" s="78" t="str">
        <f t="shared" si="14"/>
        <v>,shinyaku_code</v>
      </c>
      <c r="Q25" s="78" t="str">
        <f t="shared" si="15"/>
        <v>TEXT</v>
      </c>
      <c r="R25" s="78" t="str">
        <f t="shared" si="16"/>
        <v/>
      </c>
      <c r="S25" s="78" t="str">
        <f t="shared" si="17"/>
        <v/>
      </c>
      <c r="T25" s="78" t="str">
        <f t="shared" si="18"/>
        <v>-- 新薬コード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milscm_2023_010.azn_202310_backup_mt_iyakuhin.shinyaku_code IS '新薬コード';</v>
      </c>
    </row>
    <row r="26" spans="1:45" s="25" customFormat="1">
      <c r="A26" s="4"/>
      <c r="B26" s="21">
        <f t="shared" si="2"/>
        <v>14</v>
      </c>
      <c r="C26" s="6" t="s">
        <v>2593</v>
      </c>
      <c r="D26" s="6" t="s">
        <v>3346</v>
      </c>
      <c r="E26" s="8"/>
      <c r="F26" s="7" t="s">
        <v>318</v>
      </c>
      <c r="G26" s="7" t="str">
        <f t="shared" si="13"/>
        <v>text</v>
      </c>
      <c r="H26" s="26"/>
      <c r="I26" s="10" t="s">
        <v>127</v>
      </c>
      <c r="J26" s="11"/>
      <c r="M26" s="4"/>
      <c r="N26" s="78"/>
      <c r="O26" s="78"/>
      <c r="P26" s="78" t="str">
        <f t="shared" si="14"/>
        <v>,iyakuhin_brand_code</v>
      </c>
      <c r="Q26" s="78" t="str">
        <f t="shared" si="15"/>
        <v>TEXT</v>
      </c>
      <c r="R26" s="78" t="str">
        <f t="shared" si="16"/>
        <v/>
      </c>
      <c r="S26" s="78" t="str">
        <f t="shared" si="17"/>
        <v>NOT NULL</v>
      </c>
      <c r="T26" s="78" t="str">
        <f t="shared" si="18"/>
        <v>-- 医薬品ブランドコード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milscm_2023_010.azn_202310_backup_mt_iyakuhin.iyakuhin_brand_code IS '医薬品ブランドコード';</v>
      </c>
    </row>
    <row r="27" spans="1:45" s="25" customFormat="1" ht="31.5">
      <c r="A27" s="4"/>
      <c r="B27" s="21">
        <f t="shared" si="2"/>
        <v>15</v>
      </c>
      <c r="C27" s="6" t="s">
        <v>2595</v>
      </c>
      <c r="D27" s="6" t="s">
        <v>3347</v>
      </c>
      <c r="E27" s="8"/>
      <c r="F27" s="7" t="s">
        <v>318</v>
      </c>
      <c r="G27" s="7" t="str">
        <f t="shared" si="13"/>
        <v>text</v>
      </c>
      <c r="H27" s="26"/>
      <c r="I27" s="10" t="s">
        <v>127</v>
      </c>
      <c r="J27" s="11"/>
      <c r="M27" s="4"/>
      <c r="N27" s="78"/>
      <c r="O27" s="78"/>
      <c r="P27" s="78" t="str">
        <f t="shared" si="14"/>
        <v>,iyakuhin_ippan_name_code</v>
      </c>
      <c r="Q27" s="78" t="str">
        <f t="shared" si="15"/>
        <v>TEXT</v>
      </c>
      <c r="R27" s="78" t="str">
        <f t="shared" si="16"/>
        <v/>
      </c>
      <c r="S27" s="78" t="str">
        <f t="shared" si="17"/>
        <v>NOT NULL</v>
      </c>
      <c r="T27" s="78" t="str">
        <f t="shared" si="18"/>
        <v>-- 医薬品一般名コード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milscm_2023_010.azn_202310_backup_mt_iyakuhin.iyakuhin_ippan_name_code IS '医薬品一般名コード';</v>
      </c>
    </row>
    <row r="28" spans="1:45" s="25" customFormat="1">
      <c r="A28" s="4"/>
      <c r="B28" s="21">
        <f t="shared" si="2"/>
        <v>16</v>
      </c>
      <c r="C28" s="6" t="s">
        <v>2629</v>
      </c>
      <c r="D28" s="6" t="s">
        <v>2630</v>
      </c>
      <c r="E28" s="8"/>
      <c r="F28" s="7" t="s">
        <v>318</v>
      </c>
      <c r="G28" s="7" t="str">
        <f t="shared" si="13"/>
        <v>text</v>
      </c>
      <c r="H28" s="26"/>
      <c r="I28" s="10" t="s">
        <v>127</v>
      </c>
      <c r="J28" s="11"/>
      <c r="M28" s="4"/>
      <c r="N28" s="78"/>
      <c r="O28" s="78"/>
      <c r="P28" s="78" t="str">
        <f t="shared" si="14"/>
        <v>,toyo_keiro_kubun</v>
      </c>
      <c r="Q28" s="78" t="str">
        <f t="shared" si="15"/>
        <v>TEXT</v>
      </c>
      <c r="R28" s="78" t="str">
        <f t="shared" si="16"/>
        <v/>
      </c>
      <c r="S28" s="78" t="str">
        <f t="shared" si="17"/>
        <v>NOT NULL</v>
      </c>
      <c r="T28" s="78" t="str">
        <f t="shared" si="18"/>
        <v>-- 投与経路区分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milscm_2023_010.azn_202310_backup_mt_iyakuhin.toyo_keiro_kubun IS '投与経路区分';</v>
      </c>
    </row>
    <row r="29" spans="1:45" s="25" customFormat="1">
      <c r="A29" s="4"/>
      <c r="B29" s="21">
        <f t="shared" si="2"/>
        <v>17</v>
      </c>
      <c r="C29" s="6" t="s">
        <v>3348</v>
      </c>
      <c r="D29" s="6" t="s">
        <v>3349</v>
      </c>
      <c r="E29" s="8"/>
      <c r="F29" s="7" t="s">
        <v>318</v>
      </c>
      <c r="G29" s="7" t="str">
        <f t="shared" si="13"/>
        <v>text</v>
      </c>
      <c r="H29" s="26"/>
      <c r="I29" s="10"/>
      <c r="J29" s="11"/>
      <c r="M29" s="4"/>
      <c r="N29" s="78"/>
      <c r="O29" s="78"/>
      <c r="P29" s="78" t="str">
        <f t="shared" si="14"/>
        <v>,tokutei_kizai_unit_code</v>
      </c>
      <c r="Q29" s="78" t="str">
        <f t="shared" si="15"/>
        <v>TEXT</v>
      </c>
      <c r="R29" s="78" t="str">
        <f t="shared" si="16"/>
        <v/>
      </c>
      <c r="S29" s="78" t="str">
        <f t="shared" si="17"/>
        <v/>
      </c>
      <c r="T29" s="78" t="str">
        <f t="shared" si="18"/>
        <v>-- 特定器材単位コード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milscm_2023_010.azn_202310_backup_mt_iyakuhin.tokutei_kizai_unit_code IS '特定器材単位コード';</v>
      </c>
    </row>
    <row r="30" spans="1:45" s="25" customFormat="1">
      <c r="A30" s="4"/>
      <c r="B30" s="21">
        <f t="shared" si="2"/>
        <v>18</v>
      </c>
      <c r="C30" s="6" t="s">
        <v>3350</v>
      </c>
      <c r="D30" s="6" t="s">
        <v>3351</v>
      </c>
      <c r="E30" s="8"/>
      <c r="F30" s="7" t="s">
        <v>318</v>
      </c>
      <c r="G30" s="7" t="str">
        <f t="shared" si="13"/>
        <v>text</v>
      </c>
      <c r="H30" s="26"/>
      <c r="I30" s="10" t="s">
        <v>127</v>
      </c>
      <c r="J30" s="11" t="s">
        <v>144</v>
      </c>
      <c r="M30" s="4"/>
      <c r="N30" s="78"/>
      <c r="O30" s="78"/>
      <c r="P30" s="78" t="str">
        <f t="shared" si="14"/>
        <v>,hatsubai_ymd</v>
      </c>
      <c r="Q30" s="78" t="str">
        <f t="shared" si="15"/>
        <v>TEXT</v>
      </c>
      <c r="R30" s="78" t="str">
        <f t="shared" si="16"/>
        <v/>
      </c>
      <c r="S30" s="78" t="str">
        <f t="shared" si="17"/>
        <v>NOT NULL</v>
      </c>
      <c r="T30" s="78" t="str">
        <f t="shared" si="18"/>
        <v>-- 発売年月日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milscm_2023_010.azn_202310_backup_mt_iyakuhin.hatsubai_ymd IS '発売年月日';</v>
      </c>
    </row>
    <row r="31" spans="1:45" s="25" customFormat="1">
      <c r="A31" s="4"/>
      <c r="B31" s="21">
        <f t="shared" si="2"/>
        <v>19</v>
      </c>
      <c r="C31" s="6" t="s">
        <v>3352</v>
      </c>
      <c r="D31" s="6" t="s">
        <v>3353</v>
      </c>
      <c r="E31" s="8"/>
      <c r="F31" s="7" t="s">
        <v>318</v>
      </c>
      <c r="G31" s="7" t="str">
        <f t="shared" si="13"/>
        <v>text</v>
      </c>
      <c r="H31" s="26"/>
      <c r="I31" s="10"/>
      <c r="J31" s="11" t="s">
        <v>3361</v>
      </c>
      <c r="M31" s="4"/>
      <c r="N31" s="78"/>
      <c r="O31" s="78"/>
      <c r="P31" s="78" t="str">
        <f t="shared" si="14"/>
        <v>,ikosaki</v>
      </c>
      <c r="Q31" s="78" t="str">
        <f t="shared" si="15"/>
        <v>TEXT</v>
      </c>
      <c r="R31" s="78" t="str">
        <f t="shared" si="16"/>
        <v/>
      </c>
      <c r="S31" s="78" t="str">
        <f t="shared" si="17"/>
        <v/>
      </c>
      <c r="T31" s="78" t="str">
        <f t="shared" si="18"/>
        <v>-- 移行先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milscm_2023_010.azn_202310_backup_mt_iyakuhin.ikosaki IS '移行先';</v>
      </c>
    </row>
    <row r="32" spans="1:45" s="25" customFormat="1">
      <c r="A32" s="4"/>
      <c r="B32" s="21">
        <f t="shared" si="2"/>
        <v>20</v>
      </c>
      <c r="C32" s="6" t="s">
        <v>3354</v>
      </c>
      <c r="D32" s="6" t="s">
        <v>3355</v>
      </c>
      <c r="E32" s="8"/>
      <c r="F32" s="7" t="s">
        <v>318</v>
      </c>
      <c r="G32" s="7" t="str">
        <f t="shared" si="13"/>
        <v>text</v>
      </c>
      <c r="H32" s="26"/>
      <c r="I32" s="10" t="s">
        <v>127</v>
      </c>
      <c r="J32" s="11" t="s">
        <v>3362</v>
      </c>
      <c r="M32" s="4"/>
      <c r="N32" s="78"/>
      <c r="O32" s="78"/>
      <c r="P32" s="78" t="str">
        <f t="shared" si="14"/>
        <v>,nen</v>
      </c>
      <c r="Q32" s="78" t="str">
        <f t="shared" si="15"/>
        <v>TEXT</v>
      </c>
      <c r="R32" s="78" t="str">
        <f t="shared" si="16"/>
        <v/>
      </c>
      <c r="S32" s="78" t="str">
        <f t="shared" si="17"/>
        <v>NOT NULL</v>
      </c>
      <c r="T32" s="78" t="str">
        <f t="shared" si="18"/>
        <v>-- 年</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milscm_2023_010.azn_202310_backup_mt_iyakuhin.nen IS '年';</v>
      </c>
    </row>
    <row r="33" spans="1:52" s="25" customFormat="1">
      <c r="A33" s="4"/>
      <c r="B33" s="21">
        <f t="shared" si="2"/>
        <v>21</v>
      </c>
      <c r="C33" s="6" t="s">
        <v>3356</v>
      </c>
      <c r="D33" s="6" t="s">
        <v>3357</v>
      </c>
      <c r="E33" s="8"/>
      <c r="F33" s="7" t="s">
        <v>318</v>
      </c>
      <c r="G33" s="7" t="str">
        <f t="shared" ref="G33" si="19">IF(F33="フラグ","boolean",IF(F33="文字列","text",IF(F33="整数","integer",IF(F33="実数","numeric",""))))</f>
        <v>text</v>
      </c>
      <c r="H33" s="26"/>
      <c r="I33" s="10" t="s">
        <v>127</v>
      </c>
      <c r="J33" s="11" t="s">
        <v>3363</v>
      </c>
      <c r="M33" s="4"/>
      <c r="N33" s="78"/>
      <c r="O33" s="78"/>
      <c r="P33" s="78" t="str">
        <f t="shared" ref="P33" si="20">IF(B33&lt;&gt;1,","&amp;D33,D33)</f>
        <v>,nengetsu</v>
      </c>
      <c r="Q33" s="78" t="str">
        <f t="shared" ref="Q33" si="21">UPPER(G33)</f>
        <v>TEXT</v>
      </c>
      <c r="R33" s="78" t="str">
        <f t="shared" ref="R33" si="22">IF(H33&lt;&gt;"","default "&amp;IF(G33="text","'"&amp;H33&amp;"'",H33),"")</f>
        <v/>
      </c>
      <c r="S33" s="78" t="str">
        <f t="shared" ref="S33" si="23">IF(I33="○","NOT NULL","")</f>
        <v>NOT NULL</v>
      </c>
      <c r="T33" s="78" t="str">
        <f t="shared" ref="T33" si="24">"-- "&amp;C33</f>
        <v>-- 年月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milscm_2023_010.azn_202310_backup_mt_iyakuhin.nengetsu IS '年月';</v>
      </c>
    </row>
    <row r="34" spans="1:52" s="25" customFormat="1" ht="19.5" thickBot="1">
      <c r="A34" s="4"/>
      <c r="B34" s="27">
        <f>ROW()-12</f>
        <v>22</v>
      </c>
      <c r="C34" s="57" t="s">
        <v>3358</v>
      </c>
      <c r="D34" s="57" t="s">
        <v>1926</v>
      </c>
      <c r="E34" s="56"/>
      <c r="F34" s="56" t="s">
        <v>318</v>
      </c>
      <c r="G34" s="56" t="str">
        <f t="shared" si="3"/>
        <v>text</v>
      </c>
      <c r="H34" s="59"/>
      <c r="I34" s="60" t="s">
        <v>127</v>
      </c>
      <c r="J34" s="64" t="s">
        <v>2444</v>
      </c>
      <c r="N34" s="78"/>
      <c r="O34" s="78"/>
      <c r="P34" s="78" t="str">
        <f t="shared" si="4"/>
        <v>,update_ymd</v>
      </c>
      <c r="Q34" s="78" t="str">
        <f t="shared" si="0"/>
        <v>TEXT</v>
      </c>
      <c r="R34" s="78" t="str">
        <f t="shared" si="1"/>
        <v/>
      </c>
      <c r="S34" s="78" t="str">
        <f t="shared" si="5"/>
        <v>NOT NULL</v>
      </c>
      <c r="T34" s="78" t="str">
        <f t="shared" si="6"/>
        <v>-- データ登録日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milscm_2023_010.azn_202310_backup_mt_iyakuhin.update_ymd IS 'データ登録日';</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2400-000000000000}"/>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ENT_01_A3-19</v>
      </c>
      <c r="E6" s="239"/>
      <c r="F6" s="239"/>
      <c r="G6" s="239"/>
      <c r="H6" s="239"/>
      <c r="I6" s="239"/>
      <c r="J6" s="240"/>
    </row>
    <row r="7" spans="1:45">
      <c r="B7" s="228" t="s">
        <v>115</v>
      </c>
      <c r="C7" s="229"/>
      <c r="D7" s="230" t="s">
        <v>3364</v>
      </c>
      <c r="E7" s="231"/>
      <c r="F7" s="231"/>
      <c r="G7" s="231"/>
      <c r="H7" s="231"/>
      <c r="I7" s="231"/>
      <c r="J7" s="232"/>
    </row>
    <row r="8" spans="1:45">
      <c r="B8" s="228" t="s">
        <v>116</v>
      </c>
      <c r="C8" s="229"/>
      <c r="D8" s="230" t="str">
        <f>エンティティ一覧!AE2&amp;"_"&amp;D5&amp;"_mt_iyakuhin_brand"</f>
        <v>azn_202310_backup_mt_iyakuhin_brand</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milscm_2023_010.azn_202310_backup_mt_iyakuhin_brand;</v>
      </c>
      <c r="O10" s="78"/>
      <c r="P10" s="78"/>
      <c r="Q10" s="78"/>
      <c r="R10" s="78"/>
      <c r="S10" s="78"/>
      <c r="T10" s="78"/>
      <c r="AJ10" s="78" t="str">
        <f>"ALTER TABLE ONLY "&amp;エンティティ一覧!$O$2&amp;"."&amp;D$8</f>
        <v>ALTER TABLE ONLY milscm_2023_010.azn_202310_backup_mt_iyakuhin_brand</v>
      </c>
      <c r="AS10" s="78" t="str">
        <f>"ALTER TABLE "&amp;エンティティ一覧!$O$2&amp;"."&amp;D$8&amp;" OWNER TO pgmisgrp1;"</f>
        <v>ALTER TABLE milscm_2023_010.azn_202310_backup_mt_iyakuhin_brand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milscm_2023_010.azn_202310_backup_mt_iyakuhin_brand</v>
      </c>
      <c r="O11" s="78"/>
      <c r="P11" s="78"/>
      <c r="Q11" s="78"/>
      <c r="R11" s="78"/>
      <c r="S11" s="78"/>
      <c r="T11" s="78"/>
      <c r="AJ11" s="78" t="str">
        <f>"ADD CONSTRAINT "&amp;D$8&amp;"_pkey PRIMARY KEY"</f>
        <v>ADD CONSTRAINT azn_202310_backup_mt_iyakuhin_brand_pkey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milscm_2023_010.azn_202310_backup_mt_iyakuhin_brand IS 'バックアップ_医薬品ブランドマスタ';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milscm_2023_010.azn_202310_backup_mt_iyakuhin_brand.sekoubi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milscm_2023_010.azn_202310_backup_mt_iyakuhin_brand.koshin_kubun IS '更新区分';</v>
      </c>
    </row>
    <row r="15" spans="1:45" s="25" customFormat="1">
      <c r="A15" s="4"/>
      <c r="B15" s="21">
        <f t="shared" si="2"/>
        <v>3</v>
      </c>
      <c r="C15" s="6" t="s">
        <v>2593</v>
      </c>
      <c r="D15" s="6" t="s">
        <v>3346</v>
      </c>
      <c r="E15" s="8" t="s">
        <v>127</v>
      </c>
      <c r="F15" s="7" t="s">
        <v>318</v>
      </c>
      <c r="G15" s="7" t="str">
        <f t="shared" si="3"/>
        <v>text</v>
      </c>
      <c r="H15" s="26"/>
      <c r="I15" s="10" t="s">
        <v>127</v>
      </c>
      <c r="J15" s="11"/>
      <c r="M15" s="4"/>
      <c r="N15" s="78"/>
      <c r="O15" s="78"/>
      <c r="P15" s="78" t="str">
        <f t="shared" si="4"/>
        <v>,iyakuhin_brand_code</v>
      </c>
      <c r="Q15" s="78" t="str">
        <f t="shared" si="0"/>
        <v>TEXT</v>
      </c>
      <c r="R15" s="78" t="str">
        <f t="shared" si="1"/>
        <v/>
      </c>
      <c r="S15" s="78" t="str">
        <f t="shared" si="5"/>
        <v>NOT NULL</v>
      </c>
      <c r="T15" s="78" t="str">
        <f t="shared" si="6"/>
        <v>-- 医薬品ブランドコード</v>
      </c>
      <c r="U15" s="4"/>
      <c r="AA15" s="4"/>
      <c r="AB15" s="4"/>
      <c r="AC15" s="4"/>
      <c r="AD15" s="4"/>
      <c r="AE15" s="4"/>
      <c r="AF15" s="4"/>
      <c r="AG15" s="4"/>
      <c r="AH15" s="4"/>
      <c r="AI15" s="4"/>
      <c r="AJ15" s="78" t="str">
        <f>IF(E15="○",IF(COUNTA(E$13:E15)=1,"",",")&amp;D15,"")</f>
        <v>,iyakuhin_brand_code</v>
      </c>
      <c r="AK15" s="4"/>
      <c r="AL15" s="4"/>
      <c r="AM15" s="4"/>
      <c r="AN15" s="4"/>
      <c r="AO15" s="4"/>
      <c r="AP15" s="4"/>
      <c r="AQ15" s="4"/>
      <c r="AR15" s="4"/>
      <c r="AS15" s="78" t="str">
        <f>"COMMENT ON COLUMN "&amp;エンティティ一覧!$O$2&amp;"."&amp;D$8&amp;"."&amp;D15&amp;" IS '"&amp;C15&amp;"';"</f>
        <v>COMMENT ON COLUMN milscm_2023_010.azn_202310_backup_mt_iyakuhin_brand.iyakuhin_brand_code IS '医薬品ブランドコード';</v>
      </c>
    </row>
    <row r="16" spans="1:45" s="25" customFormat="1">
      <c r="A16" s="4"/>
      <c r="B16" s="21">
        <f t="shared" si="2"/>
        <v>4</v>
      </c>
      <c r="C16" s="6" t="s">
        <v>2611</v>
      </c>
      <c r="D16" s="6" t="s">
        <v>3365</v>
      </c>
      <c r="E16" s="8"/>
      <c r="F16" s="7" t="s">
        <v>318</v>
      </c>
      <c r="G16" s="7" t="str">
        <f t="shared" si="3"/>
        <v>text</v>
      </c>
      <c r="H16" s="26"/>
      <c r="I16" s="10" t="s">
        <v>127</v>
      </c>
      <c r="J16" s="11"/>
      <c r="M16" s="4"/>
      <c r="N16" s="78"/>
      <c r="O16" s="78"/>
      <c r="P16" s="78" t="str">
        <f t="shared" si="4"/>
        <v>,iyakuhin_brand_name</v>
      </c>
      <c r="Q16" s="78" t="str">
        <f t="shared" si="0"/>
        <v>TEXT</v>
      </c>
      <c r="R16" s="78" t="str">
        <f t="shared" si="1"/>
        <v/>
      </c>
      <c r="S16" s="78" t="str">
        <f t="shared" si="5"/>
        <v>NOT NULL</v>
      </c>
      <c r="T16" s="78" t="str">
        <f t="shared" si="6"/>
        <v>-- 医薬品ブランド名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milscm_2023_010.azn_202310_backup_mt_iyakuhin_brand.iyakuhin_brand_name IS '医薬品ブランド名';</v>
      </c>
    </row>
    <row r="17" spans="1:52" s="25" customFormat="1">
      <c r="A17" s="4"/>
      <c r="B17" s="21">
        <f t="shared" si="2"/>
        <v>5</v>
      </c>
      <c r="C17" s="6" t="s">
        <v>3366</v>
      </c>
      <c r="D17" s="6" t="s">
        <v>2612</v>
      </c>
      <c r="E17" s="8"/>
      <c r="F17" s="7" t="s">
        <v>318</v>
      </c>
      <c r="G17" s="7" t="str">
        <f t="shared" si="3"/>
        <v>text</v>
      </c>
      <c r="H17" s="26"/>
      <c r="I17" s="10" t="s">
        <v>127</v>
      </c>
      <c r="J17" s="11"/>
      <c r="M17" s="4"/>
      <c r="N17" s="78"/>
      <c r="O17" s="78"/>
      <c r="P17" s="78" t="str">
        <f t="shared" si="4"/>
        <v>,iyakuhin_brand_jpn_name</v>
      </c>
      <c r="Q17" s="78" t="str">
        <f t="shared" si="0"/>
        <v>TEXT</v>
      </c>
      <c r="R17" s="78" t="str">
        <f t="shared" si="1"/>
        <v/>
      </c>
      <c r="S17" s="78" t="str">
        <f t="shared" si="5"/>
        <v>NOT NULL</v>
      </c>
      <c r="T17" s="78" t="str">
        <f t="shared" si="6"/>
        <v>-- 医薬品ブランド日本語名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milscm_2023_010.azn_202310_backup_mt_iyakuhin_brand.iyakuhin_brand_jpn_name IS '医薬品ブランド日本語名';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milscm_2023_010.azn_202310_backup_mt_iyakuhin_brand.nen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milscm_2023_010.azn_202310_backup_mt_iyakuhin_brand.nengetsu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milscm_2023_010.azn_202310_backup_mt_iyakuhin_brand.update_ymd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500-000000000000}"/>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ENT_01_A3-20</v>
      </c>
      <c r="E6" s="239"/>
      <c r="F6" s="239"/>
      <c r="G6" s="239"/>
      <c r="H6" s="239"/>
      <c r="I6" s="239"/>
      <c r="J6" s="240"/>
    </row>
    <row r="7" spans="1:45">
      <c r="B7" s="228" t="s">
        <v>115</v>
      </c>
      <c r="C7" s="229"/>
      <c r="D7" s="230" t="s">
        <v>3367</v>
      </c>
      <c r="E7" s="231"/>
      <c r="F7" s="231"/>
      <c r="G7" s="231"/>
      <c r="H7" s="231"/>
      <c r="I7" s="231"/>
      <c r="J7" s="232"/>
    </row>
    <row r="8" spans="1:45">
      <c r="B8" s="228" t="s">
        <v>116</v>
      </c>
      <c r="C8" s="229"/>
      <c r="D8" s="230" t="str">
        <f>エンティティ一覧!AE2&amp;"_"&amp;D5&amp;"_mt_iyakuhin_ippan_name"</f>
        <v>azn_202310_backup_mt_iyakuhin_ippan_name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milscm_2023_010.azn_202310_backup_mt_iyakuhin_ippan_name;</v>
      </c>
      <c r="O10" s="78"/>
      <c r="P10" s="78"/>
      <c r="Q10" s="78"/>
      <c r="R10" s="78"/>
      <c r="S10" s="78"/>
      <c r="T10" s="78"/>
      <c r="AJ10" s="78" t="str">
        <f>"ALTER TABLE ONLY "&amp;エンティティ一覧!$O$2&amp;"."&amp;D$8</f>
        <v>ALTER TABLE ONLY milscm_2023_010.azn_202310_backup_mt_iyakuhin_ippan_name</v>
      </c>
      <c r="AS10" s="78" t="str">
        <f>"ALTER TABLE "&amp;エンティティ一覧!$O$2&amp;"."&amp;D$8&amp;" OWNER TO pgmisgrp1;"</f>
        <v>ALTER TABLE milscm_2023_010.azn_202310_backup_mt_iyakuhin_ippan_name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milscm_2023_010.azn_202310_backup_mt_iyakuhin_ippan_name</v>
      </c>
      <c r="O11" s="78"/>
      <c r="P11" s="78"/>
      <c r="Q11" s="78"/>
      <c r="R11" s="78"/>
      <c r="S11" s="78"/>
      <c r="T11" s="78"/>
      <c r="AJ11" s="78" t="str">
        <f>"ADD CONSTRAINT "&amp;D$8&amp;"_pkey PRIMARY KEY"</f>
        <v>ADD CONSTRAINT azn_202310_backup_mt_iyakuhin_ippan_name_pkey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milscm_2023_010.azn_202310_backup_mt_iyakuhin_ippan_name IS 'バックアップ_医薬品一般名マスタ';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milscm_2023_010.azn_202310_backup_mt_iyakuhin_ippan_name.sekoubi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milscm_2023_010.azn_202310_backup_mt_iyakuhin_ippan_name.koshin_kubun IS '更新区分';</v>
      </c>
    </row>
    <row r="15" spans="1:45" s="25" customFormat="1" ht="31.5">
      <c r="A15" s="4"/>
      <c r="B15" s="21">
        <f t="shared" si="2"/>
        <v>3</v>
      </c>
      <c r="C15" s="6" t="s">
        <v>2595</v>
      </c>
      <c r="D15" s="6" t="s">
        <v>3347</v>
      </c>
      <c r="E15" s="8" t="s">
        <v>127</v>
      </c>
      <c r="F15" s="7" t="s">
        <v>318</v>
      </c>
      <c r="G15" s="7" t="str">
        <f t="shared" si="3"/>
        <v>text</v>
      </c>
      <c r="H15" s="26"/>
      <c r="I15" s="10" t="s">
        <v>127</v>
      </c>
      <c r="J15" s="11"/>
      <c r="M15" s="4"/>
      <c r="N15" s="78"/>
      <c r="O15" s="78"/>
      <c r="P15" s="78" t="str">
        <f t="shared" si="4"/>
        <v>,iyakuhin_ippan_name_code</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,iyakuhin_ippan_name_code</v>
      </c>
      <c r="AK15" s="4"/>
      <c r="AL15" s="4"/>
      <c r="AM15" s="4"/>
      <c r="AN15" s="4"/>
      <c r="AO15" s="4"/>
      <c r="AP15" s="4"/>
      <c r="AQ15" s="4"/>
      <c r="AR15" s="4"/>
      <c r="AS15" s="78" t="str">
        <f>"COMMENT ON COLUMN "&amp;エンティティ一覧!$O$2&amp;"."&amp;D$8&amp;"."&amp;D15&amp;" IS '"&amp;C15&amp;"';"</f>
        <v>COMMENT ON COLUMN milscm_2023_010.azn_202310_backup_mt_iyakuhin_ippan_name.iyakuhin_ippan_name_code IS '医薬品一般名コード';</v>
      </c>
    </row>
    <row r="16" spans="1:45" s="25" customFormat="1">
      <c r="A16" s="4"/>
      <c r="B16" s="21">
        <f t="shared" si="2"/>
        <v>4</v>
      </c>
      <c r="C16" s="6" t="s">
        <v>2613</v>
      </c>
      <c r="D16" s="6" t="s">
        <v>2157</v>
      </c>
      <c r="E16" s="8"/>
      <c r="F16" s="7" t="s">
        <v>318</v>
      </c>
      <c r="G16" s="7" t="str">
        <f t="shared" si="3"/>
        <v>text</v>
      </c>
      <c r="H16" s="26"/>
      <c r="I16" s="10" t="s">
        <v>127</v>
      </c>
      <c r="J16" s="11"/>
      <c r="M16" s="4"/>
      <c r="N16" s="78"/>
      <c r="O16" s="78"/>
      <c r="P16" s="78" t="str">
        <f t="shared" si="4"/>
        <v>,iyakuhin_ippan_name</v>
      </c>
      <c r="Q16" s="78" t="str">
        <f t="shared" si="0"/>
        <v>TEXT</v>
      </c>
      <c r="R16" s="78" t="str">
        <f t="shared" si="1"/>
        <v/>
      </c>
      <c r="S16" s="78" t="str">
        <f t="shared" si="5"/>
        <v>NOT NULL</v>
      </c>
      <c r="T16" s="78" t="str">
        <f t="shared" si="6"/>
        <v>-- 医薬品一般名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milscm_2023_010.azn_202310_backup_mt_iyakuhin_ippan_name.iyakuhin_ippan_name IS '医薬品一般名';</v>
      </c>
    </row>
    <row r="17" spans="1:52" s="25" customFormat="1" ht="31.5">
      <c r="A17" s="4"/>
      <c r="B17" s="21">
        <f t="shared" si="2"/>
        <v>5</v>
      </c>
      <c r="C17" s="6" t="s">
        <v>2614</v>
      </c>
      <c r="D17" s="6" t="s">
        <v>3368</v>
      </c>
      <c r="E17" s="8"/>
      <c r="F17" s="7" t="s">
        <v>318</v>
      </c>
      <c r="G17" s="7" t="str">
        <f t="shared" si="3"/>
        <v>text</v>
      </c>
      <c r="H17" s="26"/>
      <c r="I17" s="10" t="s">
        <v>127</v>
      </c>
      <c r="J17" s="11"/>
      <c r="M17" s="4"/>
      <c r="N17" s="78"/>
      <c r="O17" s="78"/>
      <c r="P17" s="78" t="str">
        <f t="shared" si="4"/>
        <v>,iyakuhin_ippan_englishname</v>
      </c>
      <c r="Q17" s="78" t="str">
        <f t="shared" si="0"/>
        <v>TEXT</v>
      </c>
      <c r="R17" s="78" t="str">
        <f t="shared" si="1"/>
        <v/>
      </c>
      <c r="S17" s="78" t="str">
        <f t="shared" si="5"/>
        <v>NOT NULL</v>
      </c>
      <c r="T17" s="78" t="str">
        <f t="shared" si="6"/>
        <v>-- 医薬品一般名英名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milscm_2023_010.azn_202310_backup_mt_iyakuhin_ippan_name.iyakuhin_ippan_englishname IS '医薬品一般名英名';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milscm_2023_010.azn_202310_backup_mt_iyakuhin_ippan_name.nen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milscm_2023_010.azn_202310_backup_mt_iyakuhin_ippan_name.nengetsu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milscm_2023_010.azn_202310_backup_mt_iyakuhin_ippan_name.update_ymd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600-000000000000}"/>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ENT_01_A3-21</v>
      </c>
      <c r="E6" s="239"/>
      <c r="F6" s="239"/>
      <c r="G6" s="239"/>
      <c r="H6" s="239"/>
      <c r="I6" s="239"/>
      <c r="J6" s="240"/>
    </row>
    <row r="7" spans="1:45">
      <c r="B7" s="228" t="s">
        <v>115</v>
      </c>
      <c r="C7" s="229"/>
      <c r="D7" s="230" t="s">
        <v>3369</v>
      </c>
      <c r="E7" s="231"/>
      <c r="F7" s="231"/>
      <c r="G7" s="231"/>
      <c r="H7" s="231"/>
      <c r="I7" s="231"/>
      <c r="J7" s="232"/>
    </row>
    <row r="8" spans="1:45">
      <c r="B8" s="228" t="s">
        <v>116</v>
      </c>
      <c r="C8" s="229"/>
      <c r="D8" s="230" t="str">
        <f>エンティティ一覧!AE2&amp;"_"&amp;D5&amp;"_mt_iyakuhin_sales_kaisha"</f>
        <v>azn_202310_backup_mt_iyakuhin_sales_kaisha</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milscm_2023_010.azn_202310_backup_mt_iyakuhin_sales_kaisha;</v>
      </c>
      <c r="O10" s="78"/>
      <c r="P10" s="78"/>
      <c r="Q10" s="78"/>
      <c r="R10" s="78"/>
      <c r="S10" s="78"/>
      <c r="T10" s="78"/>
      <c r="AJ10" s="78" t="str">
        <f>"ALTER TABLE ONLY "&amp;エンティティ一覧!$O$2&amp;"."&amp;D$8</f>
        <v>ALTER TABLE ONLY milscm_2023_010.azn_202310_backup_mt_iyakuhin_sales_kaisha</v>
      </c>
      <c r="AS10" s="78" t="str">
        <f>"ALTER TABLE "&amp;エンティティ一覧!$O$2&amp;"."&amp;D$8&amp;" OWNER TO pgmisgrp1;"</f>
        <v>ALTER TABLE milscm_2023_010.azn_202310_backup_mt_iyakuhin_sales_kaisha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milscm_2023_010.azn_202310_backup_mt_iyakuhin_sales_kaisha</v>
      </c>
      <c r="O11" s="78"/>
      <c r="P11" s="78"/>
      <c r="Q11" s="78"/>
      <c r="R11" s="78"/>
      <c r="S11" s="78"/>
      <c r="T11" s="78"/>
      <c r="AJ11" s="78" t="str">
        <f>"ADD CONSTRAINT "&amp;D$8&amp;"_pkey PRIMARY KEY"</f>
        <v>ADD CONSTRAINT azn_202310_backup_mt_iyakuhin_sales_kaisha_pkey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milscm_2023_010.azn_202310_backup_mt_iyakuhin_sales_kaisha IS 'バックアップ_医薬品販売会社マスタ';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milscm_2023_010.azn_202310_backup_mt_iyakuhin_sales_kaisha.sekoubi IS '施行日';</v>
      </c>
    </row>
    <row r="14" spans="1:45" s="25" customFormat="1">
      <c r="A14" s="4"/>
      <c r="B14" s="21">
        <f t="shared" ref="B14:B18" si="2">ROW()-12</f>
        <v>2</v>
      </c>
      <c r="C14" s="6" t="s">
        <v>3335</v>
      </c>
      <c r="D14" s="6" t="s">
        <v>2092</v>
      </c>
      <c r="E14" s="8" t="s">
        <v>127</v>
      </c>
      <c r="F14" s="7" t="s">
        <v>318</v>
      </c>
      <c r="G14" s="7" t="str">
        <f t="shared" ref="G14:G19" si="3">IF(F14="フラグ","boolean",IF(F14="文字列","text",IF(F14="整数","integer",IF(F14="実数","numeric",""))))</f>
        <v>text</v>
      </c>
      <c r="H14" s="26"/>
      <c r="I14" s="10" t="s">
        <v>127</v>
      </c>
      <c r="J14" s="11" t="s">
        <v>3360</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milscm_2023_010.azn_202310_backup_mt_iyakuhin_sales_kaisha.koshin_kubun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milscm_2023_010.azn_202310_backup_mt_iyakuhin_sales_kaisha.iyakuhin_code IS '医薬品コード';</v>
      </c>
    </row>
    <row r="16" spans="1:45" s="25" customFormat="1">
      <c r="A16" s="4"/>
      <c r="B16" s="21">
        <f t="shared" si="2"/>
        <v>4</v>
      </c>
      <c r="C16" s="6" t="s">
        <v>3370</v>
      </c>
      <c r="D16" s="6" t="s">
        <v>3371</v>
      </c>
      <c r="E16" s="8" t="s">
        <v>127</v>
      </c>
      <c r="F16" s="7" t="s">
        <v>318</v>
      </c>
      <c r="G16" s="7" t="str">
        <f t="shared" si="3"/>
        <v>text</v>
      </c>
      <c r="H16" s="26"/>
      <c r="I16" s="10" t="s">
        <v>127</v>
      </c>
      <c r="J16" s="11"/>
      <c r="M16" s="4"/>
      <c r="N16" s="78"/>
      <c r="O16" s="78"/>
      <c r="P16" s="78" t="str">
        <f t="shared" si="4"/>
        <v>,maker_code</v>
      </c>
      <c r="Q16" s="78" t="str">
        <f t="shared" si="0"/>
        <v>TEXT</v>
      </c>
      <c r="R16" s="78" t="str">
        <f t="shared" si="1"/>
        <v/>
      </c>
      <c r="S16" s="78" t="str">
        <f t="shared" si="5"/>
        <v>NOT NULL</v>
      </c>
      <c r="T16" s="78" t="str">
        <f t="shared" si="6"/>
        <v>-- メーカコード</v>
      </c>
      <c r="U16" s="4"/>
      <c r="AA16" s="4"/>
      <c r="AB16" s="4"/>
      <c r="AC16" s="4"/>
      <c r="AD16" s="4"/>
      <c r="AE16" s="4"/>
      <c r="AF16" s="4"/>
      <c r="AG16" s="4"/>
      <c r="AH16" s="4"/>
      <c r="AI16" s="4"/>
      <c r="AJ16" s="78" t="str">
        <f>IF(E16="○",IF(COUNTA(E$13:E16)=1,"",",")&amp;D16,"")</f>
        <v>,maker_code</v>
      </c>
      <c r="AK16" s="4"/>
      <c r="AL16" s="4"/>
      <c r="AM16" s="4"/>
      <c r="AN16" s="4"/>
      <c r="AO16" s="4"/>
      <c r="AP16" s="4"/>
      <c r="AQ16" s="4"/>
      <c r="AR16" s="4"/>
      <c r="AS16" s="78" t="str">
        <f>"COMMENT ON COLUMN "&amp;エンティティ一覧!$O$2&amp;"."&amp;D$8&amp;"."&amp;D16&amp;" IS '"&amp;C16&amp;"';"</f>
        <v>COMMENT ON COLUMN milscm_2023_010.azn_202310_backup_mt_iyakuhin_sales_kaisha.maker_code IS 'メーカコード';</v>
      </c>
    </row>
    <row r="17" spans="1:52" s="25" customFormat="1">
      <c r="A17" s="4"/>
      <c r="B17" s="21">
        <f t="shared" si="2"/>
        <v>5</v>
      </c>
      <c r="C17" s="6" t="s">
        <v>3354</v>
      </c>
      <c r="D17" s="6" t="s">
        <v>3355</v>
      </c>
      <c r="E17" s="8"/>
      <c r="F17" s="7" t="s">
        <v>318</v>
      </c>
      <c r="G17" s="7" t="str">
        <f t="shared" si="3"/>
        <v>text</v>
      </c>
      <c r="H17" s="26"/>
      <c r="I17" s="10" t="s">
        <v>127</v>
      </c>
      <c r="J17" s="11" t="s">
        <v>3362</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milscm_2023_010.azn_202310_backup_mt_iyakuhin_sales_kaisha.nen IS '年';</v>
      </c>
    </row>
    <row r="18" spans="1:52" s="25" customFormat="1">
      <c r="A18" s="4"/>
      <c r="B18" s="21">
        <f t="shared" si="2"/>
        <v>6</v>
      </c>
      <c r="C18" s="6" t="s">
        <v>3356</v>
      </c>
      <c r="D18" s="6" t="s">
        <v>3357</v>
      </c>
      <c r="E18" s="8"/>
      <c r="F18" s="7" t="s">
        <v>318</v>
      </c>
      <c r="G18" s="7" t="str">
        <f t="shared" si="3"/>
        <v>text</v>
      </c>
      <c r="H18" s="26"/>
      <c r="I18" s="10" t="s">
        <v>127</v>
      </c>
      <c r="J18" s="11" t="s">
        <v>3363</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milscm_2023_010.azn_202310_backup_mt_iyakuhin_sales_kaisha.nengetsu IS '年月';</v>
      </c>
    </row>
    <row r="19" spans="1:52" s="25" customFormat="1" ht="19.5" thickBot="1">
      <c r="A19" s="4"/>
      <c r="B19" s="27">
        <f>ROW()-12</f>
        <v>7</v>
      </c>
      <c r="C19" s="57" t="s">
        <v>3358</v>
      </c>
      <c r="D19" s="57" t="s">
        <v>1926</v>
      </c>
      <c r="E19" s="56"/>
      <c r="F19" s="56" t="s">
        <v>318</v>
      </c>
      <c r="G19" s="56" t="str">
        <f t="shared" si="3"/>
        <v>text</v>
      </c>
      <c r="H19" s="59"/>
      <c r="I19" s="60" t="s">
        <v>127</v>
      </c>
      <c r="J19" s="64" t="s">
        <v>2444</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milscm_2023_010.azn_202310_backup_mt_iyakuhin_sales_kaisha.update_ymd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700-000000000000}"/>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ENT_01_A3-22</v>
      </c>
      <c r="E6" s="239"/>
      <c r="F6" s="239"/>
      <c r="G6" s="239"/>
      <c r="H6" s="239"/>
      <c r="I6" s="239"/>
      <c r="J6" s="240"/>
    </row>
    <row r="7" spans="1:45">
      <c r="B7" s="228" t="s">
        <v>115</v>
      </c>
      <c r="C7" s="229"/>
      <c r="D7" s="230" t="s">
        <v>3290</v>
      </c>
      <c r="E7" s="231"/>
      <c r="F7" s="231"/>
      <c r="G7" s="231"/>
      <c r="H7" s="231"/>
      <c r="I7" s="231"/>
      <c r="J7" s="232"/>
    </row>
    <row r="8" spans="1:45">
      <c r="B8" s="228" t="s">
        <v>116</v>
      </c>
      <c r="C8" s="229"/>
      <c r="D8" s="230" t="str">
        <f>エンティティ一覧!AE2&amp;"_"&amp;D5&amp;"_mt_maker"</f>
        <v>azn_202310_backup_mt_maker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メーカマスタテーブルから組入れ条件の第一条件で絞り込んだ結果を格納するテーブル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milscm_2023_010.azn_202310_backup_mt_maker;</v>
      </c>
      <c r="O10" s="78"/>
      <c r="P10" s="78"/>
      <c r="Q10" s="78"/>
      <c r="R10" s="78"/>
      <c r="S10" s="78"/>
      <c r="T10" s="78"/>
      <c r="AJ10" s="78" t="str">
        <f>"ALTER TABLE ONLY "&amp;エンティティ一覧!$O$2&amp;"."&amp;D$8</f>
        <v>ALTER TABLE ONLY milscm_2023_010.azn_202310_backup_mt_maker</v>
      </c>
      <c r="AS10" s="78" t="str">
        <f>"ALTER TABLE "&amp;エンティティ一覧!$O$2&amp;"."&amp;D$8&amp;" OWNER TO pgmisgrp1;"</f>
        <v>ALTER TABLE milscm_2023_010.azn_202310_backup_mt_maker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milscm_2023_010.azn_202310_backup_mt_maker</v>
      </c>
      <c r="O11" s="78"/>
      <c r="P11" s="78"/>
      <c r="Q11" s="78"/>
      <c r="R11" s="78"/>
      <c r="S11" s="78"/>
      <c r="T11" s="78"/>
      <c r="AJ11" s="78" t="str">
        <f>"ADD CONSTRAINT "&amp;D$8&amp;"_pkey PRIMARY KEY"</f>
        <v>ADD CONSTRAINT azn_202310_backup_mt_maker_pkey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milscm_2023_010.azn_202310_backup_mt_maker IS 'バックアップ_メーカマスタ';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19" si="0">UPPER(G13)</f>
        <v>TEXT</v>
      </c>
      <c r="R13" s="78" t="str">
        <f t="shared" ref="R13:R19"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milscm_2023_010.azn_202310_backup_mt_maker.sekoubi IS '施行日';</v>
      </c>
    </row>
    <row r="14" spans="1:45" s="25" customFormat="1">
      <c r="A14" s="4"/>
      <c r="B14" s="21">
        <f t="shared" ref="B14:B18" si="2">ROW()-12</f>
        <v>2</v>
      </c>
      <c r="C14" s="6" t="s">
        <v>3335</v>
      </c>
      <c r="D14" s="6" t="s">
        <v>2092</v>
      </c>
      <c r="E14" s="8" t="s">
        <v>127</v>
      </c>
      <c r="F14" s="7" t="s">
        <v>318</v>
      </c>
      <c r="G14" s="7" t="str">
        <f t="shared" ref="G14:G19" si="3">IF(F14="フラグ","boolean",IF(F14="文字列","text",IF(F14="整数","integer",IF(F14="実数","numeric",""))))</f>
        <v>text</v>
      </c>
      <c r="H14" s="26"/>
      <c r="I14" s="10" t="s">
        <v>127</v>
      </c>
      <c r="J14" s="11" t="s">
        <v>3360</v>
      </c>
      <c r="M14" s="4"/>
      <c r="N14" s="78"/>
      <c r="O14" s="78"/>
      <c r="P14" s="78" t="str">
        <f t="shared" ref="P14:P19" si="4">IF(B14&lt;&gt;1,","&amp;D14,D14)</f>
        <v>,koshin_kubun</v>
      </c>
      <c r="Q14" s="78" t="str">
        <f t="shared" si="0"/>
        <v>TEXT</v>
      </c>
      <c r="R14" s="78" t="str">
        <f t="shared" si="1"/>
        <v/>
      </c>
      <c r="S14" s="78" t="str">
        <f t="shared" ref="S14:S19" si="5">IF(I14="○","NOT NULL","")</f>
        <v>NOT NULL</v>
      </c>
      <c r="T14" s="78" t="str">
        <f t="shared" ref="T14:T19"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milscm_2023_010.azn_202310_backup_mt_maker.koshin_kubun IS '更新区分';</v>
      </c>
    </row>
    <row r="15" spans="1:45" s="25" customFormat="1">
      <c r="A15" s="4"/>
      <c r="B15" s="21">
        <f t="shared" si="2"/>
        <v>3</v>
      </c>
      <c r="C15" s="6" t="s">
        <v>3370</v>
      </c>
      <c r="D15" s="6" t="s">
        <v>3371</v>
      </c>
      <c r="E15" s="8" t="s">
        <v>127</v>
      </c>
      <c r="F15" s="7" t="s">
        <v>318</v>
      </c>
      <c r="G15" s="7" t="str">
        <f t="shared" si="3"/>
        <v>text</v>
      </c>
      <c r="H15" s="26"/>
      <c r="I15" s="10" t="s">
        <v>127</v>
      </c>
      <c r="J15" s="11"/>
      <c r="M15" s="4"/>
      <c r="N15" s="78"/>
      <c r="O15" s="78"/>
      <c r="P15" s="78" t="str">
        <f t="shared" si="4"/>
        <v>,maker_code</v>
      </c>
      <c r="Q15" s="78" t="str">
        <f t="shared" si="0"/>
        <v>TEXT</v>
      </c>
      <c r="R15" s="78" t="str">
        <f t="shared" si="1"/>
        <v/>
      </c>
      <c r="S15" s="78" t="str">
        <f t="shared" si="5"/>
        <v>NOT NULL</v>
      </c>
      <c r="T15" s="78" t="str">
        <f t="shared" si="6"/>
        <v>-- メーカコード</v>
      </c>
      <c r="U15" s="4"/>
      <c r="AA15" s="4"/>
      <c r="AB15" s="4"/>
      <c r="AC15" s="4"/>
      <c r="AD15" s="4"/>
      <c r="AE15" s="4"/>
      <c r="AF15" s="4"/>
      <c r="AG15" s="4"/>
      <c r="AH15" s="4"/>
      <c r="AI15" s="4"/>
      <c r="AJ15" s="78" t="str">
        <f>IF(E15="○",IF(COUNTA(E$13:E15)=1,"",",")&amp;D15,"")</f>
        <v>,maker_code</v>
      </c>
      <c r="AK15" s="4"/>
      <c r="AL15" s="4"/>
      <c r="AM15" s="4"/>
      <c r="AN15" s="4"/>
      <c r="AO15" s="4"/>
      <c r="AP15" s="4"/>
      <c r="AQ15" s="4"/>
      <c r="AR15" s="4"/>
      <c r="AS15" s="78" t="str">
        <f>"COMMENT ON COLUMN "&amp;エンティティ一覧!$O$2&amp;"."&amp;D$8&amp;"."&amp;D15&amp;" IS '"&amp;C15&amp;"';"</f>
        <v>COMMENT ON COLUMN milscm_2023_010.azn_202310_backup_mt_maker.maker_code IS 'メーカコード';</v>
      </c>
    </row>
    <row r="16" spans="1:45" s="25" customFormat="1">
      <c r="A16" s="4"/>
      <c r="B16" s="21">
        <f t="shared" si="2"/>
        <v>4</v>
      </c>
      <c r="C16" s="6" t="s">
        <v>3372</v>
      </c>
      <c r="D16" s="6" t="s">
        <v>3373</v>
      </c>
      <c r="E16" s="8"/>
      <c r="F16" s="7" t="s">
        <v>318</v>
      </c>
      <c r="G16" s="7" t="str">
        <f t="shared" si="3"/>
        <v>text</v>
      </c>
      <c r="H16" s="26"/>
      <c r="I16" s="10" t="s">
        <v>127</v>
      </c>
      <c r="J16" s="11"/>
      <c r="M16" s="4"/>
      <c r="N16" s="78"/>
      <c r="O16" s="78"/>
      <c r="P16" s="78" t="str">
        <f t="shared" si="4"/>
        <v>,maker_name</v>
      </c>
      <c r="Q16" s="78" t="str">
        <f t="shared" si="0"/>
        <v>TEXT</v>
      </c>
      <c r="R16" s="78" t="str">
        <f t="shared" si="1"/>
        <v/>
      </c>
      <c r="S16" s="78" t="str">
        <f t="shared" si="5"/>
        <v>NOT NULL</v>
      </c>
      <c r="T16" s="78" t="str">
        <f t="shared" si="6"/>
        <v>-- メーカ名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milscm_2023_010.azn_202310_backup_mt_maker.maker_name IS 'メーカ名';</v>
      </c>
    </row>
    <row r="17" spans="1:52" s="25" customFormat="1">
      <c r="A17" s="4"/>
      <c r="B17" s="21">
        <f t="shared" si="2"/>
        <v>5</v>
      </c>
      <c r="C17" s="6" t="s">
        <v>3354</v>
      </c>
      <c r="D17" s="6" t="s">
        <v>3355</v>
      </c>
      <c r="E17" s="8"/>
      <c r="F17" s="7" t="s">
        <v>318</v>
      </c>
      <c r="G17" s="7" t="str">
        <f t="shared" si="3"/>
        <v>text</v>
      </c>
      <c r="H17" s="26"/>
      <c r="I17" s="10" t="s">
        <v>127</v>
      </c>
      <c r="J17" s="11" t="s">
        <v>3362</v>
      </c>
      <c r="M17" s="4"/>
      <c r="N17" s="78"/>
      <c r="O17" s="78"/>
      <c r="P17" s="78" t="str">
        <f t="shared" si="4"/>
        <v>,nen</v>
      </c>
      <c r="Q17" s="78" t="str">
        <f t="shared" si="0"/>
        <v>TEXT</v>
      </c>
      <c r="R17" s="78" t="str">
        <f t="shared" si="1"/>
        <v/>
      </c>
      <c r="S17" s="78" t="str">
        <f t="shared" si="5"/>
        <v>NOT NULL</v>
      </c>
      <c r="T17" s="78" t="str">
        <f t="shared" si="6"/>
        <v>-- 年</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milscm_2023_010.azn_202310_backup_mt_maker.nen IS '年';</v>
      </c>
    </row>
    <row r="18" spans="1:52" s="25" customFormat="1">
      <c r="A18" s="4"/>
      <c r="B18" s="21">
        <f t="shared" si="2"/>
        <v>6</v>
      </c>
      <c r="C18" s="6" t="s">
        <v>3356</v>
      </c>
      <c r="D18" s="6" t="s">
        <v>3357</v>
      </c>
      <c r="E18" s="8"/>
      <c r="F18" s="7" t="s">
        <v>318</v>
      </c>
      <c r="G18" s="7" t="str">
        <f t="shared" si="3"/>
        <v>text</v>
      </c>
      <c r="H18" s="26"/>
      <c r="I18" s="10" t="s">
        <v>127</v>
      </c>
      <c r="J18" s="11" t="s">
        <v>3363</v>
      </c>
      <c r="M18" s="4"/>
      <c r="N18" s="78"/>
      <c r="O18" s="78"/>
      <c r="P18" s="78" t="str">
        <f t="shared" si="4"/>
        <v>,nengetsu</v>
      </c>
      <c r="Q18" s="78" t="str">
        <f t="shared" si="0"/>
        <v>TEXT</v>
      </c>
      <c r="R18" s="78" t="str">
        <f t="shared" si="1"/>
        <v/>
      </c>
      <c r="S18" s="78" t="str">
        <f t="shared" si="5"/>
        <v>NOT NULL</v>
      </c>
      <c r="T18" s="78" t="str">
        <f t="shared" si="6"/>
        <v>-- 年月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milscm_2023_010.azn_202310_backup_mt_maker.nengetsu IS '年月';</v>
      </c>
    </row>
    <row r="19" spans="1:52" s="25" customFormat="1" ht="19.5" thickBot="1">
      <c r="A19" s="4"/>
      <c r="B19" s="27">
        <f>ROW()-12</f>
        <v>7</v>
      </c>
      <c r="C19" s="57" t="s">
        <v>3358</v>
      </c>
      <c r="D19" s="57" t="s">
        <v>1926</v>
      </c>
      <c r="E19" s="56"/>
      <c r="F19" s="56" t="s">
        <v>318</v>
      </c>
      <c r="G19" s="56" t="str">
        <f t="shared" si="3"/>
        <v>text</v>
      </c>
      <c r="H19" s="59"/>
      <c r="I19" s="60" t="s">
        <v>127</v>
      </c>
      <c r="J19" s="64" t="s">
        <v>2444</v>
      </c>
      <c r="N19" s="78"/>
      <c r="O19" s="78"/>
      <c r="P19" s="78" t="str">
        <f t="shared" si="4"/>
        <v>,update_ymd</v>
      </c>
      <c r="Q19" s="78" t="str">
        <f t="shared" si="0"/>
        <v>TEXT</v>
      </c>
      <c r="R19" s="78" t="str">
        <f t="shared" si="1"/>
        <v/>
      </c>
      <c r="S19" s="78" t="str">
        <f t="shared" si="5"/>
        <v>NOT NULL</v>
      </c>
      <c r="T19" s="78" t="str">
        <f t="shared" si="6"/>
        <v>-- データ登録日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milscm_2023_010.azn_202310_backup_mt_maker.update_ymd IS 'データ登録日';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800-000000000000}"/>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ENT_01_A3-23</v>
      </c>
      <c r="E6" s="239"/>
      <c r="F6" s="239"/>
      <c r="G6" s="239"/>
      <c r="H6" s="239"/>
      <c r="I6" s="239"/>
      <c r="J6" s="240"/>
    </row>
    <row r="7" spans="1:45">
      <c r="B7" s="228" t="s">
        <v>115</v>
      </c>
      <c r="C7" s="229"/>
      <c r="D7" s="230" t="s">
        <v>3374</v>
      </c>
      <c r="E7" s="231"/>
      <c r="F7" s="231"/>
      <c r="G7" s="231"/>
      <c r="H7" s="231"/>
      <c r="I7" s="231"/>
      <c r="J7" s="232"/>
    </row>
    <row r="8" spans="1:45">
      <c r="B8" s="228" t="s">
        <v>116</v>
      </c>
      <c r="C8" s="229"/>
      <c r="D8" s="230" t="str">
        <f>エンティティ一覧!AE2&amp;"_"&amp;D5&amp;"_mt_price"</f>
        <v>azn_202310_backup_mt_price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薬価マスタテーブルから組入れ条件の第一条件で絞り込んだ結果を格納するテーブル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milscm_2023_010.azn_202310_backup_mt_price;</v>
      </c>
      <c r="O10" s="78"/>
      <c r="P10" s="78"/>
      <c r="Q10" s="78"/>
      <c r="R10" s="78"/>
      <c r="S10" s="78"/>
      <c r="T10" s="78"/>
      <c r="AJ10" s="78" t="str">
        <f>"ALTER TABLE ONLY "&amp;エンティティ一覧!$O$2&amp;"."&amp;D$8</f>
        <v>ALTER TABLE ONLY milscm_2023_010.azn_202310_backup_mt_price</v>
      </c>
      <c r="AS10" s="78" t="str">
        <f>"ALTER TABLE "&amp;エンティティ一覧!$O$2&amp;"."&amp;D$8&amp;" OWNER TO pgmisgrp1;"</f>
        <v>ALTER TABLE milscm_2023_010.azn_202310_backup_mt_price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milscm_2023_010.azn_202310_backup_mt_price</v>
      </c>
      <c r="O11" s="78"/>
      <c r="P11" s="78"/>
      <c r="Q11" s="78"/>
      <c r="R11" s="78"/>
      <c r="S11" s="78"/>
      <c r="T11" s="78"/>
      <c r="AJ11" s="78" t="str">
        <f>"ADD CONSTRAINT "&amp;D$8&amp;"_pkey PRIMARY KEY"</f>
        <v>ADD CONSTRAINT azn_202310_backup_mt_price_pkey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milscm_2023_010.azn_202310_backup_mt_price IS 'バックアップ_薬価マスタ';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milscm_2023_010.azn_202310_backup_mt_price.sekoubi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milscm_2023_010.azn_202310_backup_mt_price.koshin_kubun IS '更新区分';</v>
      </c>
    </row>
    <row r="15" spans="1:45" s="25" customFormat="1">
      <c r="A15" s="4"/>
      <c r="B15" s="21">
        <f t="shared" si="2"/>
        <v>3</v>
      </c>
      <c r="C15" s="6" t="s">
        <v>1202</v>
      </c>
      <c r="D15" s="6" t="s">
        <v>1203</v>
      </c>
      <c r="E15" s="8" t="s">
        <v>127</v>
      </c>
      <c r="F15" s="7" t="s">
        <v>318</v>
      </c>
      <c r="G15" s="7" t="str">
        <f t="shared" si="3"/>
        <v>text</v>
      </c>
      <c r="H15" s="26"/>
      <c r="I15" s="10" t="s">
        <v>127</v>
      </c>
      <c r="J15" s="11"/>
      <c r="M15" s="4"/>
      <c r="N15" s="78"/>
      <c r="O15" s="78"/>
      <c r="P15" s="78" t="str">
        <f t="shared" si="4"/>
        <v>,iyakuhin_code</v>
      </c>
      <c r="Q15" s="78" t="str">
        <f t="shared" si="0"/>
        <v>TEXT</v>
      </c>
      <c r="R15" s="78" t="str">
        <f t="shared" si="1"/>
        <v/>
      </c>
      <c r="S15" s="78" t="str">
        <f t="shared" si="5"/>
        <v>NOT NULL</v>
      </c>
      <c r="T15" s="78" t="str">
        <f t="shared" si="6"/>
        <v>-- 医薬品コード</v>
      </c>
      <c r="U15" s="4"/>
      <c r="AA15" s="4"/>
      <c r="AB15" s="4"/>
      <c r="AC15" s="4"/>
      <c r="AD15" s="4"/>
      <c r="AE15" s="4"/>
      <c r="AF15" s="4"/>
      <c r="AG15" s="4"/>
      <c r="AH15" s="4"/>
      <c r="AI15" s="4"/>
      <c r="AJ15" s="78" t="str">
        <f>IF(E15="○",IF(COUNTA(E$13:E15)=1,"",",")&amp;D15,"")</f>
        <v>,iyakuhin_code</v>
      </c>
      <c r="AK15" s="4"/>
      <c r="AL15" s="4"/>
      <c r="AM15" s="4"/>
      <c r="AN15" s="4"/>
      <c r="AO15" s="4"/>
      <c r="AP15" s="4"/>
      <c r="AQ15" s="4"/>
      <c r="AR15" s="4"/>
      <c r="AS15" s="78" t="str">
        <f>"COMMENT ON COLUMN "&amp;エンティティ一覧!$O$2&amp;"."&amp;D$8&amp;"."&amp;D15&amp;" IS '"&amp;C15&amp;"';"</f>
        <v>COMMENT ON COLUMN milscm_2023_010.azn_202310_backup_mt_price.iyakuhin_code IS '医薬品コード';</v>
      </c>
    </row>
    <row r="16" spans="1:45" s="25" customFormat="1">
      <c r="A16" s="4"/>
      <c r="B16" s="21">
        <f t="shared" si="2"/>
        <v>4</v>
      </c>
      <c r="C16" s="6" t="s">
        <v>3375</v>
      </c>
      <c r="D16" s="6" t="s">
        <v>3376</v>
      </c>
      <c r="E16" s="8"/>
      <c r="F16" s="7" t="s">
        <v>318</v>
      </c>
      <c r="G16" s="7" t="str">
        <f t="shared" si="3"/>
        <v>text</v>
      </c>
      <c r="H16" s="26"/>
      <c r="I16" s="10" t="s">
        <v>127</v>
      </c>
      <c r="J16" s="11" t="s">
        <v>3377</v>
      </c>
      <c r="M16" s="4"/>
      <c r="N16" s="78"/>
      <c r="O16" s="78"/>
      <c r="P16" s="78" t="str">
        <f t="shared" si="4"/>
        <v>,nendo</v>
      </c>
      <c r="Q16" s="78" t="str">
        <f t="shared" si="0"/>
        <v>TEXT</v>
      </c>
      <c r="R16" s="78" t="str">
        <f t="shared" si="1"/>
        <v/>
      </c>
      <c r="S16" s="78" t="str">
        <f t="shared" si="5"/>
        <v>NOT NULL</v>
      </c>
      <c r="T16" s="78" t="str">
        <f t="shared" si="6"/>
        <v>-- 年度</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milscm_2023_010.azn_202310_backup_mt_price.nendo IS '年度';</v>
      </c>
    </row>
    <row r="17" spans="1:52" s="25" customFormat="1" ht="37.5">
      <c r="A17" s="4"/>
      <c r="B17" s="21">
        <f t="shared" si="2"/>
        <v>5</v>
      </c>
      <c r="C17" s="6" t="s">
        <v>2648</v>
      </c>
      <c r="D17" s="6" t="s">
        <v>2649</v>
      </c>
      <c r="E17" s="8"/>
      <c r="F17" s="7" t="s">
        <v>333</v>
      </c>
      <c r="G17" s="7" t="str">
        <f t="shared" si="3"/>
        <v>numeric</v>
      </c>
      <c r="H17" s="26"/>
      <c r="I17" s="10" t="s">
        <v>127</v>
      </c>
      <c r="J17" s="11" t="s">
        <v>2440</v>
      </c>
      <c r="M17" s="4"/>
      <c r="N17" s="78"/>
      <c r="O17" s="78"/>
      <c r="P17" s="78" t="str">
        <f t="shared" si="4"/>
        <v>,price</v>
      </c>
      <c r="Q17" s="78" t="str">
        <f t="shared" si="0"/>
        <v>NUMERIC</v>
      </c>
      <c r="R17" s="78" t="str">
        <f t="shared" si="1"/>
        <v/>
      </c>
      <c r="S17" s="78" t="str">
        <f t="shared" si="5"/>
        <v>NOT NULL</v>
      </c>
      <c r="T17" s="78" t="str">
        <f t="shared" si="6"/>
        <v>-- 薬価</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milscm_2023_010.azn_202310_backup_mt_price.price IS '薬価';</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milscm_2023_010.azn_202310_backup_mt_price.nen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milscm_2023_010.azn_202310_backup_mt_price.nengetsu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milscm_2023_010.azn_202310_backup_mt_price.update_ymd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900-000000000000}"/>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ENT_01_A3-24</v>
      </c>
      <c r="E6" s="239"/>
      <c r="F6" s="239"/>
      <c r="G6" s="239"/>
      <c r="H6" s="239"/>
      <c r="I6" s="239"/>
      <c r="J6" s="240"/>
    </row>
    <row r="7" spans="1:45">
      <c r="B7" s="228" t="s">
        <v>115</v>
      </c>
      <c r="C7" s="229"/>
      <c r="D7" s="230" t="s">
        <v>3292</v>
      </c>
      <c r="E7" s="231"/>
      <c r="F7" s="231"/>
      <c r="G7" s="231"/>
      <c r="H7" s="231"/>
      <c r="I7" s="231"/>
      <c r="J7" s="232"/>
    </row>
    <row r="8" spans="1:45">
      <c r="B8" s="228" t="s">
        <v>116</v>
      </c>
      <c r="C8" s="229"/>
      <c r="D8" s="230" t="str">
        <f>エンティティ一覧!AE2&amp;"_"&amp;D5&amp;"_mt_yakko_atc1"</f>
        <v>azn_202310_backup_mt_yakko_atc1</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薬効ATC分類1マスタテーブルから組入れ条件の第一条件で絞り込んだ結果を格納するテーブル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milscm_2023_010.azn_202310_backup_mt_yakko_atc1;</v>
      </c>
      <c r="O10" s="78"/>
      <c r="P10" s="78"/>
      <c r="Q10" s="78"/>
      <c r="R10" s="78"/>
      <c r="S10" s="78"/>
      <c r="T10" s="78"/>
      <c r="AJ10" s="78" t="str">
        <f>"ALTER TABLE ONLY "&amp;エンティティ一覧!$O$2&amp;"."&amp;D$8</f>
        <v>ALTER TABLE ONLY milscm_2023_010.azn_202310_backup_mt_yakko_atc1</v>
      </c>
      <c r="AS10" s="78" t="str">
        <f>"ALTER TABLE "&amp;エンティティ一覧!$O$2&amp;"."&amp;D$8&amp;" OWNER TO pgmisgrp1;"</f>
        <v>ALTER TABLE milscm_2023_010.azn_202310_backup_mt_yakko_atc1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milscm_2023_010.azn_202310_backup_mt_yakko_atc1</v>
      </c>
      <c r="O11" s="78"/>
      <c r="P11" s="78"/>
      <c r="Q11" s="78"/>
      <c r="R11" s="78"/>
      <c r="S11" s="78"/>
      <c r="T11" s="78"/>
      <c r="AJ11" s="78" t="str">
        <f>"ADD CONSTRAINT "&amp;D$8&amp;"_pkey PRIMARY KEY"</f>
        <v>ADD CONSTRAINT azn_202310_backup_mt_yakko_atc1_pkey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milscm_2023_010.azn_202310_backup_mt_yakko_atc1 IS 'バックアップ_薬効ATC分類1マスタ';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milscm_2023_010.azn_202310_backup_mt_yakko_atc1.sekoubi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milscm_2023_010.azn_202310_backup_mt_yakko_atc1.koshin_kubun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milscm_2023_010.azn_202310_backup_mt_yakko_atc1.yakko_bunrui1_code IS '薬効分類1コード';</v>
      </c>
    </row>
    <row r="16" spans="1:45" s="25" customFormat="1">
      <c r="A16" s="4"/>
      <c r="B16" s="21">
        <f t="shared" si="2"/>
        <v>4</v>
      </c>
      <c r="C16" s="6" t="s">
        <v>2615</v>
      </c>
      <c r="D16" s="6" t="s">
        <v>3378</v>
      </c>
      <c r="E16" s="8"/>
      <c r="F16" s="7" t="s">
        <v>318</v>
      </c>
      <c r="G16" s="7" t="str">
        <f t="shared" si="3"/>
        <v>text</v>
      </c>
      <c r="H16" s="26"/>
      <c r="I16" s="10" t="s">
        <v>127</v>
      </c>
      <c r="J16" s="11"/>
      <c r="M16" s="4"/>
      <c r="N16" s="78"/>
      <c r="O16" s="78"/>
      <c r="P16" s="78" t="str">
        <f t="shared" si="4"/>
        <v>,yakko_bunrui1_name</v>
      </c>
      <c r="Q16" s="78" t="str">
        <f t="shared" si="0"/>
        <v>TEXT</v>
      </c>
      <c r="R16" s="78" t="str">
        <f t="shared" si="1"/>
        <v/>
      </c>
      <c r="S16" s="78" t="str">
        <f t="shared" si="5"/>
        <v>NOT NULL</v>
      </c>
      <c r="T16" s="78" t="str">
        <f t="shared" si="6"/>
        <v>-- 薬効分類1名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milscm_2023_010.azn_202310_backup_mt_yakko_atc1.yakko_bunrui1_name IS '薬効分類1名';</v>
      </c>
    </row>
    <row r="17" spans="1:52" s="25" customFormat="1">
      <c r="A17" s="4"/>
      <c r="B17" s="21">
        <f t="shared" si="2"/>
        <v>5</v>
      </c>
      <c r="C17" s="6" t="s">
        <v>3379</v>
      </c>
      <c r="D17" s="6" t="s">
        <v>2616</v>
      </c>
      <c r="E17" s="8"/>
      <c r="F17" s="7" t="s">
        <v>318</v>
      </c>
      <c r="G17" s="7" t="str">
        <f t="shared" si="3"/>
        <v>text</v>
      </c>
      <c r="H17" s="26"/>
      <c r="I17" s="10" t="s">
        <v>127</v>
      </c>
      <c r="J17" s="11"/>
      <c r="M17" s="4"/>
      <c r="N17" s="78"/>
      <c r="O17" s="78"/>
      <c r="P17" s="78" t="str">
        <f t="shared" si="4"/>
        <v>,yakko_bunrui1_jpn_name</v>
      </c>
      <c r="Q17" s="78" t="str">
        <f t="shared" si="0"/>
        <v>TEXT</v>
      </c>
      <c r="R17" s="78" t="str">
        <f t="shared" si="1"/>
        <v/>
      </c>
      <c r="S17" s="78" t="str">
        <f t="shared" si="5"/>
        <v>NOT NULL</v>
      </c>
      <c r="T17" s="78" t="str">
        <f t="shared" si="6"/>
        <v>-- 薬効分類1日本語名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milscm_2023_010.azn_202310_backup_mt_yakko_atc1.yakko_bunrui1_jpn_name IS '薬効分類1日本語名';</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milscm_2023_010.azn_202310_backup_mt_yakko_atc1.nen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milscm_2023_010.azn_202310_backup_mt_yakko_atc1.nengetsu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milscm_2023_010.azn_202310_backup_mt_yakko_atc1.update_ymd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A00-000000000000}"/>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ENT_01_A3-25</v>
      </c>
      <c r="E6" s="239"/>
      <c r="F6" s="239"/>
      <c r="G6" s="239"/>
      <c r="H6" s="239"/>
      <c r="I6" s="239"/>
      <c r="J6" s="240"/>
    </row>
    <row r="7" spans="1:45">
      <c r="B7" s="228" t="s">
        <v>115</v>
      </c>
      <c r="C7" s="229"/>
      <c r="D7" s="230" t="s">
        <v>3380</v>
      </c>
      <c r="E7" s="231"/>
      <c r="F7" s="231"/>
      <c r="G7" s="231"/>
      <c r="H7" s="231"/>
      <c r="I7" s="231"/>
      <c r="J7" s="232"/>
    </row>
    <row r="8" spans="1:45">
      <c r="B8" s="228" t="s">
        <v>116</v>
      </c>
      <c r="C8" s="229"/>
      <c r="D8" s="230" t="str">
        <f>エンティティ一覧!AE2&amp;"_"&amp;D5&amp;"_mt_yakko_atc2"</f>
        <v>azn_202310_backup_mt_yakko_atc2</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薬効ATC分類2マスタテーブルから組入れ条件の第一条件で絞り込んだ結果を格納するテーブル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milscm_2023_010.azn_202310_backup_mt_yakko_atc2;</v>
      </c>
      <c r="O10" s="78"/>
      <c r="P10" s="78"/>
      <c r="Q10" s="78"/>
      <c r="R10" s="78"/>
      <c r="S10" s="78"/>
      <c r="T10" s="78"/>
      <c r="AJ10" s="78" t="str">
        <f>"ALTER TABLE ONLY "&amp;エンティティ一覧!$O$2&amp;"."&amp;D$8</f>
        <v>ALTER TABLE ONLY milscm_2023_010.azn_202310_backup_mt_yakko_atc2</v>
      </c>
      <c r="AS10" s="78" t="str">
        <f>"ALTER TABLE "&amp;エンティティ一覧!$O$2&amp;"."&amp;D$8&amp;" OWNER TO pgmisgrp1;"</f>
        <v>ALTER TABLE milscm_2023_010.azn_202310_backup_mt_yakko_atc2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milscm_2023_010.azn_202310_backup_mt_yakko_atc2</v>
      </c>
      <c r="O11" s="78"/>
      <c r="P11" s="78"/>
      <c r="Q11" s="78"/>
      <c r="R11" s="78"/>
      <c r="S11" s="78"/>
      <c r="T11" s="78"/>
      <c r="AJ11" s="78" t="str">
        <f>"ADD CONSTRAINT "&amp;D$8&amp;"_pkey PRIMARY KEY"</f>
        <v>ADD CONSTRAINT azn_202310_backup_mt_yakko_atc2_pkey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milscm_2023_010.azn_202310_backup_mt_yakko_atc2 IS 'バックアップ_薬効ATC分類2マスタ';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milscm_2023_010.azn_202310_backup_mt_yakko_atc2.sekoubi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milscm_2023_010.azn_202310_backup_mt_yakko_atc2.koshin_kubun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milscm_2023_010.azn_202310_backup_mt_yakko_atc2.yakko_bunrui1_code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milscm_2023_010.azn_202310_backup_mt_yakko_atc2.yakko_bunrui2_code IS '薬効分類2コード';</v>
      </c>
    </row>
    <row r="17" spans="1:52" s="25" customFormat="1">
      <c r="A17" s="4"/>
      <c r="B17" s="21">
        <f t="shared" si="2"/>
        <v>5</v>
      </c>
      <c r="C17" s="6" t="s">
        <v>2617</v>
      </c>
      <c r="D17" s="6" t="s">
        <v>3381</v>
      </c>
      <c r="E17" s="8"/>
      <c r="F17" s="7" t="s">
        <v>318</v>
      </c>
      <c r="G17" s="7" t="str">
        <f t="shared" si="3"/>
        <v>text</v>
      </c>
      <c r="H17" s="26"/>
      <c r="I17" s="10" t="s">
        <v>127</v>
      </c>
      <c r="J17" s="11"/>
      <c r="M17" s="4"/>
      <c r="N17" s="78"/>
      <c r="O17" s="78"/>
      <c r="P17" s="78" t="str">
        <f t="shared" si="4"/>
        <v>,yakko_bunrui2_name</v>
      </c>
      <c r="Q17" s="78" t="str">
        <f t="shared" si="0"/>
        <v>TEXT</v>
      </c>
      <c r="R17" s="78" t="str">
        <f t="shared" si="1"/>
        <v/>
      </c>
      <c r="S17" s="78" t="str">
        <f t="shared" si="5"/>
        <v>NOT NULL</v>
      </c>
      <c r="T17" s="78" t="str">
        <f t="shared" si="6"/>
        <v>-- 薬効分類2名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milscm_2023_010.azn_202310_backup_mt_yakko_atc2.yakko_bunrui2_name IS '薬効分類2名';</v>
      </c>
    </row>
    <row r="18" spans="1:52" s="25" customFormat="1">
      <c r="A18" s="4"/>
      <c r="B18" s="21">
        <f t="shared" si="2"/>
        <v>6</v>
      </c>
      <c r="C18" s="6" t="s">
        <v>3382</v>
      </c>
      <c r="D18" s="6" t="s">
        <v>2618</v>
      </c>
      <c r="E18" s="8"/>
      <c r="F18" s="7" t="s">
        <v>318</v>
      </c>
      <c r="G18" s="7" t="str">
        <f t="shared" ref="G18" si="7">IF(F18="フラグ","boolean",IF(F18="文字列","text",IF(F18="整数","integer",IF(F18="実数","numeric",""))))</f>
        <v>text</v>
      </c>
      <c r="H18" s="26"/>
      <c r="I18" s="10" t="s">
        <v>127</v>
      </c>
      <c r="J18" s="11"/>
      <c r="M18" s="4"/>
      <c r="N18" s="78"/>
      <c r="O18" s="78"/>
      <c r="P18" s="78" t="str">
        <f t="shared" ref="P18" si="8">IF(B18&lt;&gt;1,","&amp;D18,D18)</f>
        <v>,yakko_bunrui2_jpn_name</v>
      </c>
      <c r="Q18" s="78" t="str">
        <f t="shared" ref="Q18" si="9">UPPER(G18)</f>
        <v>TEXT</v>
      </c>
      <c r="R18" s="78" t="str">
        <f t="shared" ref="R18" si="10">IF(H18&lt;&gt;"","default "&amp;IF(G18="text","'"&amp;H18&amp;"'",H18),"")</f>
        <v/>
      </c>
      <c r="S18" s="78" t="str">
        <f t="shared" ref="S18" si="11">IF(I18="○","NOT NULL","")</f>
        <v>NOT NULL</v>
      </c>
      <c r="T18" s="78" t="str">
        <f t="shared" ref="T18" si="12">"-- "&amp;C18</f>
        <v>-- 薬効分類2日本語名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milscm_2023_010.azn_202310_backup_mt_yakko_atc2.yakko_bunrui2_jpn_name IS '薬効分類2日本語名';</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milscm_2023_010.azn_202310_backup_mt_yakko_atc2.nen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milscm_2023_010.azn_202310_backup_mt_yakko_atc2.nengetsu IS '年月';</v>
      </c>
    </row>
    <row r="21" spans="1:52" s="25" customFormat="1" ht="19.5"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milscm_2023_010.azn_202310_backup_mt_yakko_atc2.update_ymd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B00-000000000000}"/>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ENT_01_A3-26</v>
      </c>
      <c r="E6" s="239"/>
      <c r="F6" s="239"/>
      <c r="G6" s="239"/>
      <c r="H6" s="239"/>
      <c r="I6" s="239"/>
      <c r="J6" s="240"/>
    </row>
    <row r="7" spans="1:45">
      <c r="B7" s="228" t="s">
        <v>115</v>
      </c>
      <c r="C7" s="229"/>
      <c r="D7" s="230" t="s">
        <v>3383</v>
      </c>
      <c r="E7" s="231"/>
      <c r="F7" s="231"/>
      <c r="G7" s="231"/>
      <c r="H7" s="231"/>
      <c r="I7" s="231"/>
      <c r="J7" s="232"/>
    </row>
    <row r="8" spans="1:45">
      <c r="B8" s="228" t="s">
        <v>116</v>
      </c>
      <c r="C8" s="229"/>
      <c r="D8" s="230" t="str">
        <f>エンティティ一覧!AE2&amp;"_"&amp;D5&amp;"_mt_yakko_atc3"</f>
        <v>azn_202310_backup_mt_yakko_atc3</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薬効ATC分類3マスタテーブルから組入れ条件の第一条件で絞り込んだ結果を格納するテーブル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milscm_2023_010.azn_202310_backup_mt_yakko_atc3;</v>
      </c>
      <c r="O10" s="78"/>
      <c r="P10" s="78"/>
      <c r="Q10" s="78"/>
      <c r="R10" s="78"/>
      <c r="S10" s="78"/>
      <c r="T10" s="78"/>
      <c r="AJ10" s="78" t="str">
        <f>"ALTER TABLE ONLY "&amp;エンティティ一覧!$O$2&amp;"."&amp;D$8</f>
        <v>ALTER TABLE ONLY milscm_2023_010.azn_202310_backup_mt_yakko_atc3</v>
      </c>
      <c r="AS10" s="78" t="str">
        <f>"ALTER TABLE "&amp;エンティティ一覧!$O$2&amp;"."&amp;D$8&amp;" OWNER TO pgmisgrp1;"</f>
        <v>ALTER TABLE milscm_2023_010.azn_202310_backup_mt_yakko_atc3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milscm_2023_010.azn_202310_backup_mt_yakko_atc3</v>
      </c>
      <c r="O11" s="78"/>
      <c r="P11" s="78"/>
      <c r="Q11" s="78"/>
      <c r="R11" s="78"/>
      <c r="S11" s="78"/>
      <c r="T11" s="78"/>
      <c r="AJ11" s="78" t="str">
        <f>"ADD CONSTRAINT "&amp;D$8&amp;"_pkey PRIMARY KEY"</f>
        <v>ADD CONSTRAINT azn_202310_backup_mt_yakko_atc3_pkey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milscm_2023_010.azn_202310_backup_mt_yakko_atc3 IS 'バックアップ_薬効ATC分類3マスタ';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milscm_2023_010.azn_202310_backup_mt_yakko_atc3.sekoubi IS '施行日';</v>
      </c>
    </row>
    <row r="14" spans="1:45" s="25" customFormat="1">
      <c r="A14" s="4"/>
      <c r="B14" s="21">
        <f t="shared" ref="B14:B21" si="2">ROW()-12</f>
        <v>2</v>
      </c>
      <c r="C14" s="6" t="s">
        <v>3335</v>
      </c>
      <c r="D14" s="6" t="s">
        <v>2092</v>
      </c>
      <c r="E14" s="8" t="s">
        <v>127</v>
      </c>
      <c r="F14" s="7" t="s">
        <v>318</v>
      </c>
      <c r="G14" s="7" t="str">
        <f t="shared" ref="G14:G22" si="3">IF(F14="フラグ","boolean",IF(F14="文字列","text",IF(F14="整数","integer",IF(F14="実数","numeric",""))))</f>
        <v>text</v>
      </c>
      <c r="H14" s="26"/>
      <c r="I14" s="10" t="s">
        <v>127</v>
      </c>
      <c r="J14" s="11" t="s">
        <v>3360</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milscm_2023_010.azn_202310_backup_mt_yakko_atc3.koshin_kubun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milscm_2023_010.azn_202310_backup_mt_yakko_atc3.yakko_bunrui1_code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milscm_2023_010.azn_202310_backup_mt_yakko_atc3.yakko_bunrui2_code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milscm_2023_010.azn_202310_backup_mt_yakko_atc3.yakko_bunrui3_code IS '薬効分類3コード';</v>
      </c>
    </row>
    <row r="18" spans="1:52" s="25" customFormat="1">
      <c r="A18" s="4"/>
      <c r="B18" s="21">
        <f t="shared" si="2"/>
        <v>6</v>
      </c>
      <c r="C18" s="6" t="s">
        <v>2619</v>
      </c>
      <c r="D18" s="6" t="s">
        <v>3384</v>
      </c>
      <c r="E18" s="8"/>
      <c r="F18" s="7" t="s">
        <v>318</v>
      </c>
      <c r="G18" s="7" t="str">
        <f t="shared" si="3"/>
        <v>text</v>
      </c>
      <c r="H18" s="26"/>
      <c r="I18" s="10" t="s">
        <v>127</v>
      </c>
      <c r="J18" s="11"/>
      <c r="M18" s="4"/>
      <c r="N18" s="78"/>
      <c r="O18" s="78"/>
      <c r="P18" s="78" t="str">
        <f t="shared" si="4"/>
        <v>,yakko_bunrui3_name</v>
      </c>
      <c r="Q18" s="78" t="str">
        <f t="shared" si="0"/>
        <v>TEXT</v>
      </c>
      <c r="R18" s="78" t="str">
        <f t="shared" si="1"/>
        <v/>
      </c>
      <c r="S18" s="78" t="str">
        <f t="shared" si="5"/>
        <v>NOT NULL</v>
      </c>
      <c r="T18" s="78" t="str">
        <f t="shared" si="6"/>
        <v>-- 薬効分類3名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milscm_2023_010.azn_202310_backup_mt_yakko_atc3.yakko_bunrui3_name IS '薬効分類3名';</v>
      </c>
    </row>
    <row r="19" spans="1:52" s="25" customFormat="1">
      <c r="A19" s="4"/>
      <c r="B19" s="21">
        <f t="shared" si="2"/>
        <v>7</v>
      </c>
      <c r="C19" s="6" t="s">
        <v>3385</v>
      </c>
      <c r="D19" s="6" t="s">
        <v>2620</v>
      </c>
      <c r="E19" s="8"/>
      <c r="F19" s="7" t="s">
        <v>318</v>
      </c>
      <c r="G19" s="7" t="str">
        <f t="shared" si="3"/>
        <v>text</v>
      </c>
      <c r="H19" s="26"/>
      <c r="I19" s="10" t="s">
        <v>127</v>
      </c>
      <c r="J19" s="11"/>
      <c r="M19" s="4"/>
      <c r="N19" s="78"/>
      <c r="O19" s="78"/>
      <c r="P19" s="78" t="str">
        <f t="shared" si="4"/>
        <v>,yakko_bunrui3_jpn_name</v>
      </c>
      <c r="Q19" s="78" t="str">
        <f t="shared" si="0"/>
        <v>TEXT</v>
      </c>
      <c r="R19" s="78" t="str">
        <f t="shared" si="1"/>
        <v/>
      </c>
      <c r="S19" s="78" t="str">
        <f t="shared" si="5"/>
        <v>NOT NULL</v>
      </c>
      <c r="T19" s="78" t="str">
        <f t="shared" si="6"/>
        <v>-- 薬効分類3日本語名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milscm_2023_010.azn_202310_backup_mt_yakko_atc3.yakko_bunrui3_jpn_name IS '薬効分類3日本語名';</v>
      </c>
    </row>
    <row r="20" spans="1:52" s="25" customFormat="1">
      <c r="A20" s="4"/>
      <c r="B20" s="21">
        <f t="shared" si="2"/>
        <v>8</v>
      </c>
      <c r="C20" s="6" t="s">
        <v>3354</v>
      </c>
      <c r="D20" s="6" t="s">
        <v>3355</v>
      </c>
      <c r="E20" s="8"/>
      <c r="F20" s="7" t="s">
        <v>318</v>
      </c>
      <c r="G20" s="7" t="str">
        <f t="shared" ref="G20" si="7">IF(F20="フラグ","boolean",IF(F20="文字列","text",IF(F20="整数","integer",IF(F20="実数","numeric",""))))</f>
        <v>text</v>
      </c>
      <c r="H20" s="26"/>
      <c r="I20" s="10" t="s">
        <v>127</v>
      </c>
      <c r="J20" s="11" t="s">
        <v>3362</v>
      </c>
      <c r="M20" s="4"/>
      <c r="N20" s="78"/>
      <c r="O20" s="78"/>
      <c r="P20" s="78" t="str">
        <f t="shared" ref="P20" si="8">IF(B20&lt;&gt;1,","&amp;D20,D20)</f>
        <v>,nen</v>
      </c>
      <c r="Q20" s="78" t="str">
        <f t="shared" ref="Q20" si="9">UPPER(G20)</f>
        <v>TEXT</v>
      </c>
      <c r="R20" s="78" t="str">
        <f t="shared" ref="R20" si="10">IF(H20&lt;&gt;"","default "&amp;IF(G20="text","'"&amp;H20&amp;"'",H20),"")</f>
        <v/>
      </c>
      <c r="S20" s="78" t="str">
        <f t="shared" ref="S20" si="11">IF(I20="○","NOT NULL","")</f>
        <v>NOT NULL</v>
      </c>
      <c r="T20" s="78" t="str">
        <f t="shared" ref="T20" si="12">"-- "&amp;C20</f>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milscm_2023_010.azn_202310_backup_mt_yakko_atc3.nen IS '年';</v>
      </c>
    </row>
    <row r="21" spans="1:52" s="25" customFormat="1">
      <c r="A21" s="4"/>
      <c r="B21" s="21">
        <f t="shared" si="2"/>
        <v>9</v>
      </c>
      <c r="C21" s="6" t="s">
        <v>3356</v>
      </c>
      <c r="D21" s="6" t="s">
        <v>3357</v>
      </c>
      <c r="E21" s="8"/>
      <c r="F21" s="7" t="s">
        <v>318</v>
      </c>
      <c r="G21" s="7" t="str">
        <f t="shared" si="3"/>
        <v>text</v>
      </c>
      <c r="H21" s="26"/>
      <c r="I21" s="10" t="s">
        <v>127</v>
      </c>
      <c r="J21" s="11" t="s">
        <v>3363</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milscm_2023_010.azn_202310_backup_mt_yakko_atc3.nengetsu IS '年月';</v>
      </c>
    </row>
    <row r="22" spans="1:52" s="25" customFormat="1" ht="19.5" thickBot="1">
      <c r="A22" s="4"/>
      <c r="B22" s="27">
        <f>ROW()-12</f>
        <v>10</v>
      </c>
      <c r="C22" s="57" t="s">
        <v>3358</v>
      </c>
      <c r="D22" s="57" t="s">
        <v>1926</v>
      </c>
      <c r="E22" s="56"/>
      <c r="F22" s="56" t="s">
        <v>318</v>
      </c>
      <c r="G22" s="56" t="str">
        <f t="shared" si="3"/>
        <v>text</v>
      </c>
      <c r="H22" s="59"/>
      <c r="I22" s="60" t="s">
        <v>127</v>
      </c>
      <c r="J22" s="64" t="s">
        <v>2444</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milscm_2023_010.azn_202310_backup_mt_yakko_atc3.update_ymd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C00-000000000000}"/>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ENT_01_A3-27</v>
      </c>
      <c r="E6" s="239"/>
      <c r="F6" s="239"/>
      <c r="G6" s="239"/>
      <c r="H6" s="239"/>
      <c r="I6" s="239"/>
      <c r="J6" s="240"/>
    </row>
    <row r="7" spans="1:45">
      <c r="B7" s="228" t="s">
        <v>115</v>
      </c>
      <c r="C7" s="229"/>
      <c r="D7" s="230" t="s">
        <v>3386</v>
      </c>
      <c r="E7" s="231"/>
      <c r="F7" s="231"/>
      <c r="G7" s="231"/>
      <c r="H7" s="231"/>
      <c r="I7" s="231"/>
      <c r="J7" s="232"/>
    </row>
    <row r="8" spans="1:45">
      <c r="B8" s="228" t="s">
        <v>116</v>
      </c>
      <c r="C8" s="229"/>
      <c r="D8" s="230" t="str">
        <f>エンティティ一覧!AE2&amp;"_"&amp;D5&amp;"_mt_yakko_atc4"</f>
        <v>azn_202310_backup_mt_yakko_atc4</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薬効ATC分類4マスタテーブルから組入れ条件の第一条件で絞り込んだ結果を格納するテーブル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milscm_2023_010.azn_202310_backup_mt_yakko_atc4;</v>
      </c>
      <c r="O10" s="78"/>
      <c r="P10" s="78"/>
      <c r="Q10" s="78"/>
      <c r="R10" s="78"/>
      <c r="S10" s="78"/>
      <c r="T10" s="78"/>
      <c r="AJ10" s="78" t="str">
        <f>"ALTER TABLE ONLY "&amp;エンティティ一覧!$O$2&amp;"."&amp;D$8</f>
        <v>ALTER TABLE ONLY milscm_2023_010.azn_202310_backup_mt_yakko_atc4</v>
      </c>
      <c r="AS10" s="78" t="str">
        <f>"ALTER TABLE "&amp;エンティティ一覧!$O$2&amp;"."&amp;D$8&amp;" OWNER TO pgmisgrp1;"</f>
        <v>ALTER TABLE milscm_2023_010.azn_202310_backup_mt_yakko_atc4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milscm_2023_010.azn_202310_backup_mt_yakko_atc4</v>
      </c>
      <c r="O11" s="78"/>
      <c r="P11" s="78"/>
      <c r="Q11" s="78"/>
      <c r="R11" s="78"/>
      <c r="S11" s="78"/>
      <c r="T11" s="78"/>
      <c r="AJ11" s="78" t="str">
        <f>"ADD CONSTRAINT "&amp;D$8&amp;"_pkey PRIMARY KEY"</f>
        <v>ADD CONSTRAINT azn_202310_backup_mt_yakko_atc4_pkey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milscm_2023_010.azn_202310_backup_mt_yakko_atc4 IS 'バックアップ_薬効ATC分類4マスタ';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milscm_2023_010.azn_202310_backup_mt_yakko_atc4.sekoubi IS '施行日';</v>
      </c>
    </row>
    <row r="14" spans="1:45" s="25" customFormat="1">
      <c r="A14" s="4"/>
      <c r="B14" s="21">
        <f t="shared" ref="B14:B22" si="2">ROW()-12</f>
        <v>2</v>
      </c>
      <c r="C14" s="6" t="s">
        <v>3335</v>
      </c>
      <c r="D14" s="6" t="s">
        <v>2092</v>
      </c>
      <c r="E14" s="8" t="s">
        <v>127</v>
      </c>
      <c r="F14" s="7" t="s">
        <v>318</v>
      </c>
      <c r="G14" s="7" t="str">
        <f t="shared" ref="G14:G23" si="3">IF(F14="フラグ","boolean",IF(F14="文字列","text",IF(F14="整数","integer",IF(F14="実数","numeric",""))))</f>
        <v>text</v>
      </c>
      <c r="H14" s="26"/>
      <c r="I14" s="10" t="s">
        <v>127</v>
      </c>
      <c r="J14" s="11" t="s">
        <v>3360</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milscm_2023_010.azn_202310_backup_mt_yakko_atc4.koshin_kubun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milscm_2023_010.azn_202310_backup_mt_yakko_atc4.yakko_bunrui1_code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milscm_2023_010.azn_202310_backup_mt_yakko_atc4.yakko_bunrui2_code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milscm_2023_010.azn_202310_backup_mt_yakko_atc4.yakko_bunrui3_code IS '薬効分類3コード';</v>
      </c>
    </row>
    <row r="18" spans="1:52" s="25" customFormat="1">
      <c r="A18" s="4"/>
      <c r="B18" s="21">
        <f t="shared" si="2"/>
        <v>6</v>
      </c>
      <c r="C18" s="6" t="s">
        <v>2603</v>
      </c>
      <c r="D18" s="6" t="s">
        <v>3339</v>
      </c>
      <c r="E18" s="8" t="s">
        <v>127</v>
      </c>
      <c r="F18" s="7" t="s">
        <v>318</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milscm_2023_010.azn_202310_backup_mt_yakko_atc4.yakko_bunrui4_code IS '薬効分類4コード';</v>
      </c>
    </row>
    <row r="19" spans="1:52" s="25" customFormat="1">
      <c r="A19" s="4"/>
      <c r="B19" s="21">
        <f t="shared" si="2"/>
        <v>7</v>
      </c>
      <c r="C19" s="6" t="s">
        <v>2621</v>
      </c>
      <c r="D19" s="6" t="s">
        <v>3387</v>
      </c>
      <c r="E19" s="8"/>
      <c r="F19" s="7" t="s">
        <v>318</v>
      </c>
      <c r="G19" s="7" t="str">
        <f t="shared" ref="G19" si="7">IF(F19="フラグ","boolean",IF(F19="文字列","text",IF(F19="整数","integer",IF(F19="実数","numeric",""))))</f>
        <v>text</v>
      </c>
      <c r="H19" s="26"/>
      <c r="I19" s="10" t="s">
        <v>127</v>
      </c>
      <c r="J19" s="11"/>
      <c r="M19" s="4"/>
      <c r="N19" s="78"/>
      <c r="O19" s="78"/>
      <c r="P19" s="78" t="str">
        <f t="shared" ref="P19" si="8">IF(B19&lt;&gt;1,","&amp;D19,D19)</f>
        <v>,yakko_bunrui4_name</v>
      </c>
      <c r="Q19" s="78" t="str">
        <f t="shared" ref="Q19" si="9">UPPER(G19)</f>
        <v>TEXT</v>
      </c>
      <c r="R19" s="78" t="str">
        <f t="shared" ref="R19" si="10">IF(H19&lt;&gt;"","default "&amp;IF(G19="text","'"&amp;H19&amp;"'",H19),"")</f>
        <v/>
      </c>
      <c r="S19" s="78" t="str">
        <f t="shared" ref="S19" si="11">IF(I19="○","NOT NULL","")</f>
        <v>NOT NULL</v>
      </c>
      <c r="T19" s="78" t="str">
        <f t="shared" ref="T19" si="12">"-- "&amp;C19</f>
        <v>-- 薬効分類4名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milscm_2023_010.azn_202310_backup_mt_yakko_atc4.yakko_bunrui4_name IS '薬効分類4名';</v>
      </c>
    </row>
    <row r="20" spans="1:52" s="25" customFormat="1">
      <c r="A20" s="4"/>
      <c r="B20" s="21">
        <f t="shared" si="2"/>
        <v>8</v>
      </c>
      <c r="C20" s="6" t="s">
        <v>3388</v>
      </c>
      <c r="D20" s="6" t="s">
        <v>2622</v>
      </c>
      <c r="E20" s="8"/>
      <c r="F20" s="7" t="s">
        <v>318</v>
      </c>
      <c r="G20" s="7" t="str">
        <f t="shared" si="3"/>
        <v>text</v>
      </c>
      <c r="H20" s="26"/>
      <c r="I20" s="10" t="s">
        <v>127</v>
      </c>
      <c r="J20" s="11"/>
      <c r="M20" s="4"/>
      <c r="N20" s="78"/>
      <c r="O20" s="78"/>
      <c r="P20" s="78" t="str">
        <f t="shared" si="4"/>
        <v>,yakko_bunrui4_jpn_name</v>
      </c>
      <c r="Q20" s="78" t="str">
        <f t="shared" si="0"/>
        <v>TEXT</v>
      </c>
      <c r="R20" s="78" t="str">
        <f t="shared" si="1"/>
        <v/>
      </c>
      <c r="S20" s="78" t="str">
        <f t="shared" si="5"/>
        <v>NOT NULL</v>
      </c>
      <c r="T20" s="78" t="str">
        <f t="shared" si="6"/>
        <v>-- 薬効分類4日本語名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milscm_2023_010.azn_202310_backup_mt_yakko_atc4.yakko_bunrui4_jpn_name IS '薬効分類4日本語名';</v>
      </c>
    </row>
    <row r="21" spans="1:52" s="25" customFormat="1">
      <c r="A21" s="4"/>
      <c r="B21" s="21">
        <f t="shared" si="2"/>
        <v>9</v>
      </c>
      <c r="C21" s="6" t="s">
        <v>3354</v>
      </c>
      <c r="D21" s="6" t="s">
        <v>3355</v>
      </c>
      <c r="E21" s="8"/>
      <c r="F21" s="7" t="s">
        <v>318</v>
      </c>
      <c r="G21" s="7" t="str">
        <f t="shared" si="3"/>
        <v>text</v>
      </c>
      <c r="H21" s="26"/>
      <c r="I21" s="10" t="s">
        <v>127</v>
      </c>
      <c r="J21" s="11" t="s">
        <v>3362</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milscm_2023_010.azn_202310_backup_mt_yakko_atc4.nen IS '年';</v>
      </c>
    </row>
    <row r="22" spans="1:52" s="25" customFormat="1">
      <c r="A22" s="4"/>
      <c r="B22" s="21">
        <f t="shared" si="2"/>
        <v>10</v>
      </c>
      <c r="C22" s="6" t="s">
        <v>3356</v>
      </c>
      <c r="D22" s="6" t="s">
        <v>3357</v>
      </c>
      <c r="E22" s="8"/>
      <c r="F22" s="7" t="s">
        <v>318</v>
      </c>
      <c r="G22" s="7" t="str">
        <f t="shared" si="3"/>
        <v>text</v>
      </c>
      <c r="H22" s="26"/>
      <c r="I22" s="10" t="s">
        <v>127</v>
      </c>
      <c r="J22" s="11" t="s">
        <v>3363</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milscm_2023_010.azn_202310_backup_mt_yakko_atc4.nengetsu IS '年月';</v>
      </c>
    </row>
    <row r="23" spans="1:52" s="25" customFormat="1" ht="19.5" thickBot="1">
      <c r="A23" s="4"/>
      <c r="B23" s="27">
        <f>ROW()-12</f>
        <v>11</v>
      </c>
      <c r="C23" s="57" t="s">
        <v>3358</v>
      </c>
      <c r="D23" s="57" t="s">
        <v>1926</v>
      </c>
      <c r="E23" s="56"/>
      <c r="F23" s="56" t="s">
        <v>318</v>
      </c>
      <c r="G23" s="56" t="str">
        <f t="shared" si="3"/>
        <v>text</v>
      </c>
      <c r="H23" s="59"/>
      <c r="I23" s="60" t="s">
        <v>127</v>
      </c>
      <c r="J23" s="64" t="s">
        <v>2444</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milscm_2023_010.azn_202310_backup_mt_yakko_atc4.update_ymd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D00-000000000000}"/>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ENT_01_A3-28</v>
      </c>
      <c r="E6" s="239"/>
      <c r="F6" s="239"/>
      <c r="G6" s="239"/>
      <c r="H6" s="239"/>
      <c r="I6" s="239"/>
      <c r="J6" s="240"/>
    </row>
    <row r="7" spans="1:45">
      <c r="B7" s="228" t="s">
        <v>115</v>
      </c>
      <c r="C7" s="229"/>
      <c r="D7" s="230" t="s">
        <v>3389</v>
      </c>
      <c r="E7" s="231"/>
      <c r="F7" s="231"/>
      <c r="G7" s="231"/>
      <c r="H7" s="231"/>
      <c r="I7" s="231"/>
      <c r="J7" s="232"/>
    </row>
    <row r="8" spans="1:45">
      <c r="B8" s="228" t="s">
        <v>116</v>
      </c>
      <c r="C8" s="229"/>
      <c r="D8" s="230" t="str">
        <f>エンティティ一覧!AE2&amp;"_"&amp;D5&amp;"_mt_yakko_atc5"</f>
        <v>azn_202310_backup_mt_yakko_atc5</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薬効ATC分類5マスタテーブルから組入れ条件の第一条件で絞り込んだ結果を格納するテーブル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milscm_2023_010.azn_202310_backup_mt_yakko_atc5;</v>
      </c>
      <c r="O10" s="78"/>
      <c r="P10" s="78"/>
      <c r="Q10" s="78"/>
      <c r="R10" s="78"/>
      <c r="S10" s="78"/>
      <c r="T10" s="78"/>
      <c r="AJ10" s="78" t="str">
        <f>"ALTER TABLE ONLY "&amp;エンティティ一覧!$O$2&amp;"."&amp;D$8</f>
        <v>ALTER TABLE ONLY milscm_2023_010.azn_202310_backup_mt_yakko_atc5</v>
      </c>
      <c r="AS10" s="78" t="str">
        <f>"ALTER TABLE "&amp;エンティティ一覧!$O$2&amp;"."&amp;D$8&amp;" OWNER TO pgmisgrp1;"</f>
        <v>ALTER TABLE milscm_2023_010.azn_202310_backup_mt_yakko_atc5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milscm_2023_010.azn_202310_backup_mt_yakko_atc5</v>
      </c>
      <c r="O11" s="78"/>
      <c r="P11" s="78"/>
      <c r="Q11" s="78"/>
      <c r="R11" s="78"/>
      <c r="S11" s="78"/>
      <c r="T11" s="78"/>
      <c r="AJ11" s="78" t="str">
        <f>"ADD CONSTRAINT "&amp;D$8&amp;"_pkey PRIMARY KEY"</f>
        <v>ADD CONSTRAINT azn_202310_backup_mt_yakko_atc5_pkey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milscm_2023_010.azn_202310_backup_mt_yakko_atc5 IS 'バックアップ_薬効ATC分類5マスタ';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4" si="0">UPPER(G13)</f>
        <v>TEXT</v>
      </c>
      <c r="R13" s="78" t="str">
        <f t="shared" ref="R13:R24"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milscm_2023_010.azn_202310_backup_mt_yakko_atc5.sekoubi IS '施行日';</v>
      </c>
    </row>
    <row r="14" spans="1:45" s="25" customFormat="1">
      <c r="A14" s="4"/>
      <c r="B14" s="21">
        <f t="shared" ref="B14:B23" si="2">ROW()-12</f>
        <v>2</v>
      </c>
      <c r="C14" s="6" t="s">
        <v>3335</v>
      </c>
      <c r="D14" s="6" t="s">
        <v>2092</v>
      </c>
      <c r="E14" s="8" t="s">
        <v>127</v>
      </c>
      <c r="F14" s="7" t="s">
        <v>318</v>
      </c>
      <c r="G14" s="7" t="str">
        <f t="shared" ref="G14:G24" si="3">IF(F14="フラグ","boolean",IF(F14="文字列","text",IF(F14="整数","integer",IF(F14="実数","numeric",""))))</f>
        <v>text</v>
      </c>
      <c r="H14" s="26"/>
      <c r="I14" s="10" t="s">
        <v>127</v>
      </c>
      <c r="J14" s="11" t="s">
        <v>3360</v>
      </c>
      <c r="M14" s="4"/>
      <c r="N14" s="78"/>
      <c r="O14" s="78"/>
      <c r="P14" s="78" t="str">
        <f t="shared" ref="P14:P24" si="4">IF(B14&lt;&gt;1,","&amp;D14,D14)</f>
        <v>,koshin_kubun</v>
      </c>
      <c r="Q14" s="78" t="str">
        <f t="shared" si="0"/>
        <v>TEXT</v>
      </c>
      <c r="R14" s="78" t="str">
        <f t="shared" si="1"/>
        <v/>
      </c>
      <c r="S14" s="78" t="str">
        <f t="shared" ref="S14:S24" si="5">IF(I14="○","NOT NULL","")</f>
        <v>NOT NULL</v>
      </c>
      <c r="T14" s="78" t="str">
        <f t="shared" ref="T14:T24"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milscm_2023_010.azn_202310_backup_mt_yakko_atc5.koshin_kubun IS '更新区分';</v>
      </c>
    </row>
    <row r="15" spans="1:45" s="25" customFormat="1">
      <c r="A15" s="4"/>
      <c r="B15" s="21">
        <f t="shared" si="2"/>
        <v>3</v>
      </c>
      <c r="C15" s="6" t="s">
        <v>2597</v>
      </c>
      <c r="D15" s="6" t="s">
        <v>3336</v>
      </c>
      <c r="E15" s="8" t="s">
        <v>127</v>
      </c>
      <c r="F15" s="7" t="s">
        <v>318</v>
      </c>
      <c r="G15" s="7" t="str">
        <f t="shared" si="3"/>
        <v>text</v>
      </c>
      <c r="H15" s="26"/>
      <c r="I15" s="10" t="s">
        <v>127</v>
      </c>
      <c r="J15" s="11"/>
      <c r="M15" s="4"/>
      <c r="N15" s="78"/>
      <c r="O15" s="78"/>
      <c r="P15" s="78" t="str">
        <f t="shared" si="4"/>
        <v>,yakko_bunrui1_code</v>
      </c>
      <c r="Q15" s="78" t="str">
        <f t="shared" si="0"/>
        <v>TEXT</v>
      </c>
      <c r="R15" s="78" t="str">
        <f t="shared" si="1"/>
        <v/>
      </c>
      <c r="S15" s="78" t="str">
        <f t="shared" si="5"/>
        <v>NOT NULL</v>
      </c>
      <c r="T15" s="78" t="str">
        <f t="shared" si="6"/>
        <v>-- 薬効分類1コード</v>
      </c>
      <c r="U15" s="4"/>
      <c r="AA15" s="4"/>
      <c r="AB15" s="4"/>
      <c r="AC15" s="4"/>
      <c r="AD15" s="4"/>
      <c r="AE15" s="4"/>
      <c r="AF15" s="4"/>
      <c r="AG15" s="4"/>
      <c r="AH15" s="4"/>
      <c r="AI15" s="4"/>
      <c r="AJ15" s="78" t="str">
        <f>IF(E15="○",IF(COUNTA(E$13:E15)=1,"",",")&amp;D15,"")</f>
        <v>,yakko_bunrui1_code</v>
      </c>
      <c r="AK15" s="4"/>
      <c r="AL15" s="4"/>
      <c r="AM15" s="4"/>
      <c r="AN15" s="4"/>
      <c r="AO15" s="4"/>
      <c r="AP15" s="4"/>
      <c r="AQ15" s="4"/>
      <c r="AR15" s="4"/>
      <c r="AS15" s="78" t="str">
        <f>"COMMENT ON COLUMN "&amp;エンティティ一覧!$O$2&amp;"."&amp;D$8&amp;"."&amp;D15&amp;" IS '"&amp;C15&amp;"';"</f>
        <v>COMMENT ON COLUMN milscm_2023_010.azn_202310_backup_mt_yakko_atc5.yakko_bunrui1_code IS '薬効分類1コード';</v>
      </c>
    </row>
    <row r="16" spans="1:45" s="25" customFormat="1">
      <c r="A16" s="4"/>
      <c r="B16" s="21">
        <f t="shared" si="2"/>
        <v>4</v>
      </c>
      <c r="C16" s="6" t="s">
        <v>2599</v>
      </c>
      <c r="D16" s="6" t="s">
        <v>3337</v>
      </c>
      <c r="E16" s="8" t="s">
        <v>127</v>
      </c>
      <c r="F16" s="7" t="s">
        <v>318</v>
      </c>
      <c r="G16" s="7" t="str">
        <f t="shared" si="3"/>
        <v>text</v>
      </c>
      <c r="H16" s="26"/>
      <c r="I16" s="10" t="s">
        <v>127</v>
      </c>
      <c r="J16" s="11"/>
      <c r="M16" s="4"/>
      <c r="N16" s="78"/>
      <c r="O16" s="78"/>
      <c r="P16" s="78" t="str">
        <f t="shared" si="4"/>
        <v>,yakko_bunrui2_code</v>
      </c>
      <c r="Q16" s="78" t="str">
        <f t="shared" si="0"/>
        <v>TEXT</v>
      </c>
      <c r="R16" s="78" t="str">
        <f t="shared" si="1"/>
        <v/>
      </c>
      <c r="S16" s="78" t="str">
        <f t="shared" si="5"/>
        <v>NOT NULL</v>
      </c>
      <c r="T16" s="78" t="str">
        <f t="shared" si="6"/>
        <v>-- 薬効分類2コード</v>
      </c>
      <c r="U16" s="4"/>
      <c r="AA16" s="4"/>
      <c r="AB16" s="4"/>
      <c r="AC16" s="4"/>
      <c r="AD16" s="4"/>
      <c r="AE16" s="4"/>
      <c r="AF16" s="4"/>
      <c r="AG16" s="4"/>
      <c r="AH16" s="4"/>
      <c r="AI16" s="4"/>
      <c r="AJ16" s="78" t="str">
        <f>IF(E16="○",IF(COUNTA(E$13:E16)=1,"",",")&amp;D16,"")</f>
        <v>,yakko_bunrui2_code</v>
      </c>
      <c r="AK16" s="4"/>
      <c r="AL16" s="4"/>
      <c r="AM16" s="4"/>
      <c r="AN16" s="4"/>
      <c r="AO16" s="4"/>
      <c r="AP16" s="4"/>
      <c r="AQ16" s="4"/>
      <c r="AR16" s="4"/>
      <c r="AS16" s="78" t="str">
        <f>"COMMENT ON COLUMN "&amp;エンティティ一覧!$O$2&amp;"."&amp;D$8&amp;"."&amp;D16&amp;" IS '"&amp;C16&amp;"';"</f>
        <v>COMMENT ON COLUMN milscm_2023_010.azn_202310_backup_mt_yakko_atc5.yakko_bunrui2_code IS '薬効分類2コード';</v>
      </c>
    </row>
    <row r="17" spans="1:52" s="25" customFormat="1">
      <c r="A17" s="4"/>
      <c r="B17" s="21">
        <f t="shared" si="2"/>
        <v>5</v>
      </c>
      <c r="C17" s="6" t="s">
        <v>2601</v>
      </c>
      <c r="D17" s="6" t="s">
        <v>3338</v>
      </c>
      <c r="E17" s="8" t="s">
        <v>127</v>
      </c>
      <c r="F17" s="7" t="s">
        <v>318</v>
      </c>
      <c r="G17" s="7" t="str">
        <f t="shared" si="3"/>
        <v>text</v>
      </c>
      <c r="H17" s="26"/>
      <c r="I17" s="10" t="s">
        <v>127</v>
      </c>
      <c r="J17" s="11"/>
      <c r="M17" s="4"/>
      <c r="N17" s="78"/>
      <c r="O17" s="78"/>
      <c r="P17" s="78" t="str">
        <f t="shared" si="4"/>
        <v>,yakko_bunrui3_code</v>
      </c>
      <c r="Q17" s="78" t="str">
        <f t="shared" si="0"/>
        <v>TEXT</v>
      </c>
      <c r="R17" s="78" t="str">
        <f t="shared" si="1"/>
        <v/>
      </c>
      <c r="S17" s="78" t="str">
        <f t="shared" si="5"/>
        <v>NOT NULL</v>
      </c>
      <c r="T17" s="78" t="str">
        <f t="shared" si="6"/>
        <v>-- 薬効分類3コード</v>
      </c>
      <c r="U17" s="4"/>
      <c r="AA17" s="4"/>
      <c r="AB17" s="4"/>
      <c r="AC17" s="4"/>
      <c r="AD17" s="4"/>
      <c r="AE17" s="4"/>
      <c r="AF17" s="4"/>
      <c r="AG17" s="4"/>
      <c r="AH17" s="4"/>
      <c r="AI17" s="4"/>
      <c r="AJ17" s="78" t="str">
        <f>IF(E17="○",IF(COUNTA(E$13:E17)=1,"",",")&amp;D17,"")</f>
        <v>,yakko_bunrui3_code</v>
      </c>
      <c r="AK17" s="4"/>
      <c r="AL17" s="4"/>
      <c r="AM17" s="4"/>
      <c r="AN17" s="4"/>
      <c r="AO17" s="4"/>
      <c r="AP17" s="4"/>
      <c r="AQ17" s="4"/>
      <c r="AR17" s="4"/>
      <c r="AS17" s="78" t="str">
        <f>"COMMENT ON COLUMN "&amp;エンティティ一覧!$O$2&amp;"."&amp;D$8&amp;"."&amp;D17&amp;" IS '"&amp;C17&amp;"';"</f>
        <v>COMMENT ON COLUMN milscm_2023_010.azn_202310_backup_mt_yakko_atc5.yakko_bunrui3_code IS '薬効分類3コード';</v>
      </c>
    </row>
    <row r="18" spans="1:52" s="25" customFormat="1">
      <c r="A18" s="4"/>
      <c r="B18" s="21">
        <f t="shared" si="2"/>
        <v>6</v>
      </c>
      <c r="C18" s="6" t="s">
        <v>2603</v>
      </c>
      <c r="D18" s="6" t="s">
        <v>3339</v>
      </c>
      <c r="E18" s="8" t="s">
        <v>127</v>
      </c>
      <c r="F18" s="7" t="s">
        <v>318</v>
      </c>
      <c r="G18" s="7" t="str">
        <f t="shared" si="3"/>
        <v>text</v>
      </c>
      <c r="H18" s="26"/>
      <c r="I18" s="10" t="s">
        <v>127</v>
      </c>
      <c r="J18" s="11"/>
      <c r="M18" s="4"/>
      <c r="N18" s="78"/>
      <c r="O18" s="78"/>
      <c r="P18" s="78" t="str">
        <f t="shared" si="4"/>
        <v>,yakko_bunrui4_code</v>
      </c>
      <c r="Q18" s="78" t="str">
        <f t="shared" si="0"/>
        <v>TEXT</v>
      </c>
      <c r="R18" s="78" t="str">
        <f t="shared" si="1"/>
        <v/>
      </c>
      <c r="S18" s="78" t="str">
        <f t="shared" si="5"/>
        <v>NOT NULL</v>
      </c>
      <c r="T18" s="78" t="str">
        <f t="shared" si="6"/>
        <v>-- 薬効分類4コード</v>
      </c>
      <c r="U18" s="4"/>
      <c r="AA18" s="4"/>
      <c r="AB18" s="4"/>
      <c r="AC18" s="4"/>
      <c r="AD18" s="4"/>
      <c r="AE18" s="4"/>
      <c r="AF18" s="4"/>
      <c r="AG18" s="4"/>
      <c r="AH18" s="4"/>
      <c r="AI18" s="4"/>
      <c r="AJ18" s="78" t="str">
        <f>IF(E18="○",IF(COUNTA(E$13:E18)=1,"",",")&amp;D18,"")</f>
        <v>,yakko_bunrui4_code</v>
      </c>
      <c r="AK18" s="4"/>
      <c r="AL18" s="4"/>
      <c r="AM18" s="4"/>
      <c r="AN18" s="4"/>
      <c r="AO18" s="4"/>
      <c r="AP18" s="4"/>
      <c r="AQ18" s="4"/>
      <c r="AR18" s="4"/>
      <c r="AS18" s="78" t="str">
        <f>"COMMENT ON COLUMN "&amp;エンティティ一覧!$O$2&amp;"."&amp;D$8&amp;"."&amp;D18&amp;" IS '"&amp;C18&amp;"';"</f>
        <v>COMMENT ON COLUMN milscm_2023_010.azn_202310_backup_mt_yakko_atc5.yakko_bunrui4_code IS '薬効分類4コード';</v>
      </c>
    </row>
    <row r="19" spans="1:52" s="25" customFormat="1">
      <c r="A19" s="4"/>
      <c r="B19" s="21">
        <f t="shared" si="2"/>
        <v>7</v>
      </c>
      <c r="C19" s="6" t="s">
        <v>2605</v>
      </c>
      <c r="D19" s="6" t="s">
        <v>3340</v>
      </c>
      <c r="E19" s="8" t="s">
        <v>127</v>
      </c>
      <c r="F19" s="7" t="s">
        <v>318</v>
      </c>
      <c r="G19" s="7" t="str">
        <f t="shared" si="3"/>
        <v>text</v>
      </c>
      <c r="H19" s="26"/>
      <c r="I19" s="10" t="s">
        <v>127</v>
      </c>
      <c r="J19" s="11"/>
      <c r="M19" s="4"/>
      <c r="N19" s="78"/>
      <c r="O19" s="78"/>
      <c r="P19" s="78" t="str">
        <f t="shared" si="4"/>
        <v>,yakko_bunrui5_code</v>
      </c>
      <c r="Q19" s="78" t="str">
        <f t="shared" si="0"/>
        <v>TEXT</v>
      </c>
      <c r="R19" s="78" t="str">
        <f t="shared" si="1"/>
        <v/>
      </c>
      <c r="S19" s="78" t="str">
        <f t="shared" si="5"/>
        <v>NOT NULL</v>
      </c>
      <c r="T19" s="78" t="str">
        <f t="shared" si="6"/>
        <v>-- 薬効分類5コード</v>
      </c>
      <c r="U19" s="4"/>
      <c r="AA19" s="4"/>
      <c r="AB19" s="4"/>
      <c r="AC19" s="4"/>
      <c r="AD19" s="4"/>
      <c r="AE19" s="4"/>
      <c r="AF19" s="4"/>
      <c r="AG19" s="4"/>
      <c r="AH19" s="4"/>
      <c r="AI19" s="4"/>
      <c r="AJ19" s="78" t="str">
        <f>IF(E19="○",IF(COUNTA(E$13:E19)=1,"",",")&amp;D19,"")</f>
        <v>,yakko_bunrui5_code</v>
      </c>
      <c r="AK19" s="4"/>
      <c r="AL19" s="4"/>
      <c r="AM19" s="4"/>
      <c r="AN19" s="4"/>
      <c r="AO19" s="4"/>
      <c r="AP19" s="4"/>
      <c r="AQ19" s="4"/>
      <c r="AR19" s="4"/>
      <c r="AS19" s="78" t="str">
        <f>"COMMENT ON COLUMN "&amp;エンティティ一覧!$O$2&amp;"."&amp;D$8&amp;"."&amp;D19&amp;" IS '"&amp;C19&amp;"';"</f>
        <v>COMMENT ON COLUMN milscm_2023_010.azn_202310_backup_mt_yakko_atc5.yakko_bunrui5_code IS '薬効分類5コード';</v>
      </c>
    </row>
    <row r="20" spans="1:52" s="25" customFormat="1">
      <c r="A20" s="4"/>
      <c r="B20" s="21">
        <f t="shared" si="2"/>
        <v>8</v>
      </c>
      <c r="C20" s="6" t="s">
        <v>2623</v>
      </c>
      <c r="D20" s="6" t="s">
        <v>3390</v>
      </c>
      <c r="E20" s="8"/>
      <c r="F20" s="7" t="s">
        <v>318</v>
      </c>
      <c r="G20" s="7" t="str">
        <f t="shared" si="3"/>
        <v>text</v>
      </c>
      <c r="H20" s="26"/>
      <c r="I20" s="10" t="s">
        <v>127</v>
      </c>
      <c r="J20" s="11"/>
      <c r="M20" s="4"/>
      <c r="N20" s="78"/>
      <c r="O20" s="78"/>
      <c r="P20" s="78" t="str">
        <f t="shared" si="4"/>
        <v>,yakko_bunrui5_name</v>
      </c>
      <c r="Q20" s="78" t="str">
        <f t="shared" si="0"/>
        <v>TEXT</v>
      </c>
      <c r="R20" s="78" t="str">
        <f t="shared" si="1"/>
        <v/>
      </c>
      <c r="S20" s="78" t="str">
        <f t="shared" si="5"/>
        <v>NOT NULL</v>
      </c>
      <c r="T20" s="78" t="str">
        <f t="shared" si="6"/>
        <v>-- 薬効分類5名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milscm_2023_010.azn_202310_backup_mt_yakko_atc5.yakko_bunrui5_name IS '薬効分類5名';</v>
      </c>
    </row>
    <row r="21" spans="1:52" s="25" customFormat="1">
      <c r="A21" s="4"/>
      <c r="B21" s="21">
        <f t="shared" si="2"/>
        <v>9</v>
      </c>
      <c r="C21" s="6" t="s">
        <v>3391</v>
      </c>
      <c r="D21" s="6" t="s">
        <v>2624</v>
      </c>
      <c r="E21" s="8"/>
      <c r="F21" s="7" t="s">
        <v>318</v>
      </c>
      <c r="G21" s="7" t="str">
        <f t="shared" ref="G21" si="7">IF(F21="フラグ","boolean",IF(F21="文字列","text",IF(F21="整数","integer",IF(F21="実数","numeric",""))))</f>
        <v>text</v>
      </c>
      <c r="H21" s="26"/>
      <c r="I21" s="10" t="s">
        <v>127</v>
      </c>
      <c r="J21" s="11"/>
      <c r="M21" s="4"/>
      <c r="N21" s="78"/>
      <c r="O21" s="78"/>
      <c r="P21" s="78" t="str">
        <f t="shared" ref="P21" si="8">IF(B21&lt;&gt;1,","&amp;D21,D21)</f>
        <v>,yakko_bunrui5_jpn_name</v>
      </c>
      <c r="Q21" s="78" t="str">
        <f t="shared" ref="Q21" si="9">UPPER(G21)</f>
        <v>TEXT</v>
      </c>
      <c r="R21" s="78" t="str">
        <f t="shared" ref="R21" si="10">IF(H21&lt;&gt;"","default "&amp;IF(G21="text","'"&amp;H21&amp;"'",H21),"")</f>
        <v/>
      </c>
      <c r="S21" s="78" t="str">
        <f t="shared" ref="S21" si="11">IF(I21="○","NOT NULL","")</f>
        <v>NOT NULL</v>
      </c>
      <c r="T21" s="78" t="str">
        <f t="shared" ref="T21" si="12">"-- "&amp;C21</f>
        <v>-- 薬効分類5日本語名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milscm_2023_010.azn_202310_backup_mt_yakko_atc5.yakko_bunrui5_jpn_name IS '薬効分類5日本語名';</v>
      </c>
    </row>
    <row r="22" spans="1:52" s="25" customFormat="1">
      <c r="A22" s="4"/>
      <c r="B22" s="21">
        <f t="shared" si="2"/>
        <v>10</v>
      </c>
      <c r="C22" s="6" t="s">
        <v>3354</v>
      </c>
      <c r="D22" s="6" t="s">
        <v>3355</v>
      </c>
      <c r="E22" s="8"/>
      <c r="F22" s="7" t="s">
        <v>318</v>
      </c>
      <c r="G22" s="7" t="str">
        <f t="shared" si="3"/>
        <v>text</v>
      </c>
      <c r="H22" s="26"/>
      <c r="I22" s="10" t="s">
        <v>127</v>
      </c>
      <c r="J22" s="11" t="s">
        <v>3362</v>
      </c>
      <c r="M22" s="4"/>
      <c r="N22" s="78"/>
      <c r="O22" s="78"/>
      <c r="P22" s="78" t="str">
        <f t="shared" si="4"/>
        <v>,nen</v>
      </c>
      <c r="Q22" s="78" t="str">
        <f t="shared" si="0"/>
        <v>TEXT</v>
      </c>
      <c r="R22" s="78" t="str">
        <f t="shared" si="1"/>
        <v/>
      </c>
      <c r="S22" s="78" t="str">
        <f t="shared" si="5"/>
        <v>NOT NULL</v>
      </c>
      <c r="T22" s="78" t="str">
        <f t="shared" si="6"/>
        <v>-- 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milscm_2023_010.azn_202310_backup_mt_yakko_atc5.nen IS '年';</v>
      </c>
    </row>
    <row r="23" spans="1:52" s="25" customFormat="1">
      <c r="A23" s="4"/>
      <c r="B23" s="21">
        <f t="shared" si="2"/>
        <v>11</v>
      </c>
      <c r="C23" s="6" t="s">
        <v>3356</v>
      </c>
      <c r="D23" s="6" t="s">
        <v>3357</v>
      </c>
      <c r="E23" s="8"/>
      <c r="F23" s="7" t="s">
        <v>318</v>
      </c>
      <c r="G23" s="7" t="str">
        <f t="shared" si="3"/>
        <v>text</v>
      </c>
      <c r="H23" s="26"/>
      <c r="I23" s="10" t="s">
        <v>127</v>
      </c>
      <c r="J23" s="11" t="s">
        <v>3363</v>
      </c>
      <c r="M23" s="4"/>
      <c r="N23" s="78"/>
      <c r="O23" s="78"/>
      <c r="P23" s="78" t="str">
        <f t="shared" si="4"/>
        <v>,nengetsu</v>
      </c>
      <c r="Q23" s="78" t="str">
        <f t="shared" si="0"/>
        <v>TEXT</v>
      </c>
      <c r="R23" s="78" t="str">
        <f t="shared" si="1"/>
        <v/>
      </c>
      <c r="S23" s="78" t="str">
        <f t="shared" si="5"/>
        <v>NOT NULL</v>
      </c>
      <c r="T23" s="78" t="str">
        <f t="shared" si="6"/>
        <v>-- 年月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milscm_2023_010.azn_202310_backup_mt_yakko_atc5.nengetsu IS '年月';</v>
      </c>
    </row>
    <row r="24" spans="1:52" s="25" customFormat="1" ht="19.5" thickBot="1">
      <c r="A24" s="4"/>
      <c r="B24" s="27">
        <f>ROW()-12</f>
        <v>12</v>
      </c>
      <c r="C24" s="57" t="s">
        <v>3358</v>
      </c>
      <c r="D24" s="57" t="s">
        <v>1926</v>
      </c>
      <c r="E24" s="56"/>
      <c r="F24" s="56" t="s">
        <v>318</v>
      </c>
      <c r="G24" s="56" t="str">
        <f t="shared" si="3"/>
        <v>text</v>
      </c>
      <c r="H24" s="59"/>
      <c r="I24" s="60" t="s">
        <v>127</v>
      </c>
      <c r="J24" s="64" t="s">
        <v>2444</v>
      </c>
      <c r="N24" s="78"/>
      <c r="O24" s="78"/>
      <c r="P24" s="78" t="str">
        <f t="shared" si="4"/>
        <v>,update_ymd</v>
      </c>
      <c r="Q24" s="78" t="str">
        <f t="shared" si="0"/>
        <v>TEXT</v>
      </c>
      <c r="R24" s="78" t="str">
        <f t="shared" si="1"/>
        <v/>
      </c>
      <c r="S24" s="78" t="str">
        <f t="shared" si="5"/>
        <v>NOT NULL</v>
      </c>
      <c r="T24" s="78" t="str">
        <f t="shared" si="6"/>
        <v>-- データ登録日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milscm_2023_010.azn_202310_backup_mt_yakko_atc5.update_ymd IS 'データ登録日';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E00-000000000000}"/>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ENT_01_A3-29</v>
      </c>
      <c r="E6" s="239"/>
      <c r="F6" s="239"/>
      <c r="G6" s="239"/>
      <c r="H6" s="239"/>
      <c r="I6" s="239"/>
      <c r="J6" s="240"/>
    </row>
    <row r="7" spans="1:45">
      <c r="B7" s="228" t="s">
        <v>115</v>
      </c>
      <c r="C7" s="229"/>
      <c r="D7" s="230" t="s">
        <v>3392</v>
      </c>
      <c r="E7" s="231"/>
      <c r="F7" s="231"/>
      <c r="G7" s="231"/>
      <c r="H7" s="231"/>
      <c r="I7" s="231"/>
      <c r="J7" s="232"/>
    </row>
    <row r="8" spans="1:45">
      <c r="B8" s="228" t="s">
        <v>116</v>
      </c>
      <c r="C8" s="229"/>
      <c r="D8" s="230" t="str">
        <f>エンティティ一覧!AE2&amp;"_"&amp;D5&amp;"_mt_shippei"</f>
        <v>azn_202310_backup_mt_shippei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疾病マスタテーブルから組入れ条件の第一条件で絞り込んだ結果を格納するテーブル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milscm_2023_010.azn_202310_backup_mt_shippei;</v>
      </c>
      <c r="O10" s="78"/>
      <c r="P10" s="78"/>
      <c r="Q10" s="78"/>
      <c r="R10" s="78"/>
      <c r="S10" s="78"/>
      <c r="T10" s="78"/>
      <c r="AJ10" s="78" t="str">
        <f>"ALTER TABLE ONLY "&amp;エンティティ一覧!$O$2&amp;"."&amp;D$8</f>
        <v>ALTER TABLE ONLY milscm_2023_010.azn_202310_backup_mt_shippei</v>
      </c>
      <c r="AS10" s="78" t="str">
        <f>"ALTER TABLE "&amp;エンティティ一覧!$O$2&amp;"."&amp;D$8&amp;" OWNER TO pgmisgrp1;"</f>
        <v>ALTER TABLE milscm_2023_010.azn_202310_backup_mt_shippei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milscm_2023_010.azn_202310_backup_mt_shippei</v>
      </c>
      <c r="O11" s="78"/>
      <c r="P11" s="78"/>
      <c r="Q11" s="78"/>
      <c r="R11" s="78"/>
      <c r="S11" s="78"/>
      <c r="T11" s="78"/>
      <c r="AJ11" s="78" t="str">
        <f>"ADD CONSTRAINT "&amp;D$8&amp;"_pkey PRIMARY KEY"</f>
        <v>ADD CONSTRAINT azn_202310_backup_mt_shippei_pkey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milscm_2023_010.azn_202310_backup_mt_shippei IS 'バックアップ_疾病マスタ';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7" si="0">UPPER(G13)</f>
        <v>TEXT</v>
      </c>
      <c r="R13" s="78" t="str">
        <f t="shared" ref="R13:R27"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milscm_2023_010.azn_202310_backup_mt_shippei.sekoubi IS '施行日';</v>
      </c>
    </row>
    <row r="14" spans="1:45" s="25" customFormat="1">
      <c r="A14" s="4"/>
      <c r="B14" s="21">
        <f t="shared" ref="B14:B26" si="2">ROW()-12</f>
        <v>2</v>
      </c>
      <c r="C14" s="6" t="s">
        <v>3335</v>
      </c>
      <c r="D14" s="6" t="s">
        <v>2092</v>
      </c>
      <c r="E14" s="8" t="s">
        <v>127</v>
      </c>
      <c r="F14" s="7" t="s">
        <v>318</v>
      </c>
      <c r="G14" s="7" t="str">
        <f t="shared" ref="G14:G27" si="3">IF(F14="フラグ","boolean",IF(F14="文字列","text",IF(F14="整数","integer",IF(F14="実数","numeric",""))))</f>
        <v>text</v>
      </c>
      <c r="H14" s="26"/>
      <c r="I14" s="10" t="s">
        <v>127</v>
      </c>
      <c r="J14" s="11" t="s">
        <v>3360</v>
      </c>
      <c r="M14" s="4"/>
      <c r="N14" s="78"/>
      <c r="O14" s="78"/>
      <c r="P14" s="78" t="str">
        <f t="shared" ref="P14:P27" si="4">IF(B14&lt;&gt;1,","&amp;D14,D14)</f>
        <v>,koshin_kubun</v>
      </c>
      <c r="Q14" s="78" t="str">
        <f t="shared" si="0"/>
        <v>TEXT</v>
      </c>
      <c r="R14" s="78" t="str">
        <f t="shared" si="1"/>
        <v/>
      </c>
      <c r="S14" s="78" t="str">
        <f t="shared" ref="S14:S27" si="5">IF(I14="○","NOT NULL","")</f>
        <v>NOT NULL</v>
      </c>
      <c r="T14" s="78" t="str">
        <f t="shared" ref="T14:T27"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milscm_2023_010.azn_202310_backup_mt_shippei.koshin_kubun IS '更新区分';</v>
      </c>
    </row>
    <row r="15" spans="1:45" s="25" customFormat="1">
      <c r="A15" s="4"/>
      <c r="B15" s="21">
        <f t="shared" si="2"/>
        <v>3</v>
      </c>
      <c r="C15" s="6" t="s">
        <v>3393</v>
      </c>
      <c r="D15" s="6" t="s">
        <v>3394</v>
      </c>
      <c r="E15" s="8" t="s">
        <v>127</v>
      </c>
      <c r="F15" s="7" t="s">
        <v>318</v>
      </c>
      <c r="G15" s="7" t="str">
        <f t="shared" si="3"/>
        <v>text</v>
      </c>
      <c r="H15" s="26"/>
      <c r="I15" s="10" t="s">
        <v>127</v>
      </c>
      <c r="J15" s="11"/>
      <c r="M15" s="4"/>
      <c r="N15" s="78"/>
      <c r="O15" s="78"/>
      <c r="P15" s="78" t="str">
        <f t="shared" si="4"/>
        <v>,shippei_code</v>
      </c>
      <c r="Q15" s="78" t="str">
        <f t="shared" si="0"/>
        <v>TEXT</v>
      </c>
      <c r="R15" s="78" t="str">
        <f t="shared" si="1"/>
        <v/>
      </c>
      <c r="S15" s="78" t="str">
        <f t="shared" si="5"/>
        <v>NOT NULL</v>
      </c>
      <c r="T15" s="78" t="str">
        <f t="shared" si="6"/>
        <v>-- 疾病コード</v>
      </c>
      <c r="U15" s="4"/>
      <c r="AA15" s="4"/>
      <c r="AB15" s="4"/>
      <c r="AC15" s="4"/>
      <c r="AD15" s="4"/>
      <c r="AE15" s="4"/>
      <c r="AF15" s="4"/>
      <c r="AG15" s="4"/>
      <c r="AH15" s="4"/>
      <c r="AI15" s="4"/>
      <c r="AJ15" s="78" t="str">
        <f>IF(E15="○",IF(COUNTA(E$13:E15)=1,"",",")&amp;D15,"")</f>
        <v>,shippei_code</v>
      </c>
      <c r="AK15" s="4"/>
      <c r="AL15" s="4"/>
      <c r="AM15" s="4"/>
      <c r="AN15" s="4"/>
      <c r="AO15" s="4"/>
      <c r="AP15" s="4"/>
      <c r="AQ15" s="4"/>
      <c r="AR15" s="4"/>
      <c r="AS15" s="78" t="str">
        <f>"COMMENT ON COLUMN "&amp;エンティティ一覧!$O$2&amp;"."&amp;D$8&amp;"."&amp;D15&amp;" IS '"&amp;C15&amp;"';"</f>
        <v>COMMENT ON COLUMN milscm_2023_010.azn_202310_backup_mt_shippei.shippei_code IS '疾病コード';</v>
      </c>
    </row>
    <row r="16" spans="1:45" s="25" customFormat="1">
      <c r="A16" s="4"/>
      <c r="B16" s="21">
        <f t="shared" si="2"/>
        <v>4</v>
      </c>
      <c r="C16" s="6" t="s">
        <v>3395</v>
      </c>
      <c r="D16" s="6" t="s">
        <v>3396</v>
      </c>
      <c r="E16" s="8"/>
      <c r="F16" s="7" t="s">
        <v>318</v>
      </c>
      <c r="G16" s="7" t="str">
        <f t="shared" si="3"/>
        <v>text</v>
      </c>
      <c r="H16" s="26"/>
      <c r="I16" s="10"/>
      <c r="J16" s="11"/>
      <c r="M16" s="4"/>
      <c r="N16" s="78"/>
      <c r="O16" s="78"/>
      <c r="P16" s="78" t="str">
        <f t="shared" si="4"/>
        <v>,icd10_1_l_code</v>
      </c>
      <c r="Q16" s="78" t="str">
        <f t="shared" si="0"/>
        <v>TEXT</v>
      </c>
      <c r="R16" s="78" t="str">
        <f t="shared" si="1"/>
        <v/>
      </c>
      <c r="S16" s="78" t="str">
        <f t="shared" si="5"/>
        <v/>
      </c>
      <c r="T16" s="78" t="str">
        <f t="shared" si="6"/>
        <v>-- ICD10-1大分類コード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milscm_2023_010.azn_202310_backup_mt_shippei.icd10_1_l_code IS 'ICD10-1大分類コード';</v>
      </c>
    </row>
    <row r="17" spans="1:52" s="25" customFormat="1">
      <c r="A17" s="4"/>
      <c r="B17" s="21">
        <f t="shared" si="2"/>
        <v>5</v>
      </c>
      <c r="C17" s="6" t="s">
        <v>3397</v>
      </c>
      <c r="D17" s="6" t="s">
        <v>3398</v>
      </c>
      <c r="E17" s="8"/>
      <c r="F17" s="7" t="s">
        <v>318</v>
      </c>
      <c r="G17" s="7" t="str">
        <f t="shared" si="3"/>
        <v>text</v>
      </c>
      <c r="H17" s="26"/>
      <c r="I17" s="10"/>
      <c r="J17" s="11"/>
      <c r="M17" s="4"/>
      <c r="N17" s="78"/>
      <c r="O17" s="78"/>
      <c r="P17" s="78" t="str">
        <f t="shared" si="4"/>
        <v>,icd10_1_m_code</v>
      </c>
      <c r="Q17" s="78" t="str">
        <f t="shared" si="0"/>
        <v>TEXT</v>
      </c>
      <c r="R17" s="78" t="str">
        <f t="shared" si="1"/>
        <v/>
      </c>
      <c r="S17" s="78" t="str">
        <f t="shared" si="5"/>
        <v/>
      </c>
      <c r="T17" s="78" t="str">
        <f t="shared" si="6"/>
        <v>-- ICD10-1中分類コード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milscm_2023_010.azn_202310_backup_mt_shippei.icd10_1_m_code IS 'ICD10-1中分類コード';</v>
      </c>
    </row>
    <row r="18" spans="1:52" s="25" customFormat="1">
      <c r="A18" s="4"/>
      <c r="B18" s="21">
        <f t="shared" si="2"/>
        <v>6</v>
      </c>
      <c r="C18" s="6" t="s">
        <v>3399</v>
      </c>
      <c r="D18" s="6" t="s">
        <v>3400</v>
      </c>
      <c r="E18" s="8"/>
      <c r="F18" s="7" t="s">
        <v>318</v>
      </c>
      <c r="G18" s="7" t="str">
        <f t="shared" si="3"/>
        <v>text</v>
      </c>
      <c r="H18" s="26"/>
      <c r="I18" s="10"/>
      <c r="J18" s="11"/>
      <c r="M18" s="4"/>
      <c r="N18" s="78"/>
      <c r="O18" s="78"/>
      <c r="P18" s="78" t="str">
        <f t="shared" si="4"/>
        <v>,icd10_1_s_code</v>
      </c>
      <c r="Q18" s="78" t="str">
        <f t="shared" si="0"/>
        <v>TEXT</v>
      </c>
      <c r="R18" s="78" t="str">
        <f t="shared" si="1"/>
        <v/>
      </c>
      <c r="S18" s="78" t="str">
        <f t="shared" si="5"/>
        <v/>
      </c>
      <c r="T18" s="78" t="str">
        <f t="shared" si="6"/>
        <v>-- ICD10-1小分類コード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milscm_2023_010.azn_202310_backup_mt_shippei.icd10_1_s_code IS 'ICD10-1小分類コード';</v>
      </c>
    </row>
    <row r="19" spans="1:52" s="25" customFormat="1">
      <c r="A19" s="4"/>
      <c r="B19" s="21">
        <f t="shared" si="2"/>
        <v>7</v>
      </c>
      <c r="C19" s="6" t="s">
        <v>3401</v>
      </c>
      <c r="D19" s="6" t="s">
        <v>3402</v>
      </c>
      <c r="E19" s="8"/>
      <c r="F19" s="7" t="s">
        <v>318</v>
      </c>
      <c r="G19" s="7" t="str">
        <f t="shared" si="3"/>
        <v>text</v>
      </c>
      <c r="H19" s="26"/>
      <c r="I19" s="10"/>
      <c r="J19" s="11"/>
      <c r="M19" s="4"/>
      <c r="N19" s="78"/>
      <c r="O19" s="78"/>
      <c r="P19" s="78" t="str">
        <f t="shared" si="4"/>
        <v>,icd10_1_ss_code</v>
      </c>
      <c r="Q19" s="78" t="str">
        <f t="shared" si="0"/>
        <v>TEXT</v>
      </c>
      <c r="R19" s="78" t="str">
        <f t="shared" si="1"/>
        <v/>
      </c>
      <c r="S19" s="78" t="str">
        <f t="shared" si="5"/>
        <v/>
      </c>
      <c r="T19" s="78" t="str">
        <f t="shared" si="6"/>
        <v>-- ICD10-1細分類コード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milscm_2023_010.azn_202310_backup_mt_shippei.icd10_1_ss_code IS 'ICD10-1細分類コード';</v>
      </c>
    </row>
    <row r="20" spans="1:52" s="25" customFormat="1">
      <c r="A20" s="4"/>
      <c r="B20" s="21">
        <f t="shared" si="2"/>
        <v>8</v>
      </c>
      <c r="C20" s="6" t="s">
        <v>3403</v>
      </c>
      <c r="D20" s="6" t="s">
        <v>3404</v>
      </c>
      <c r="E20" s="8"/>
      <c r="F20" s="7" t="s">
        <v>318</v>
      </c>
      <c r="G20" s="7" t="str">
        <f t="shared" si="3"/>
        <v>text</v>
      </c>
      <c r="H20" s="26"/>
      <c r="I20" s="10"/>
      <c r="J20" s="11"/>
      <c r="M20" s="4"/>
      <c r="N20" s="78"/>
      <c r="O20" s="78"/>
      <c r="P20" s="78" t="str">
        <f t="shared" si="4"/>
        <v>,icd10_2_l_code</v>
      </c>
      <c r="Q20" s="78" t="str">
        <f t="shared" si="0"/>
        <v>TEXT</v>
      </c>
      <c r="R20" s="78" t="str">
        <f t="shared" si="1"/>
        <v/>
      </c>
      <c r="S20" s="78" t="str">
        <f t="shared" si="5"/>
        <v/>
      </c>
      <c r="T20" s="78" t="str">
        <f t="shared" si="6"/>
        <v>-- ICD10-2大分類コード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milscm_2023_010.azn_202310_backup_mt_shippei.icd10_2_l_code IS 'ICD10-2大分類コード';</v>
      </c>
    </row>
    <row r="21" spans="1:52" s="25" customFormat="1">
      <c r="A21" s="4"/>
      <c r="B21" s="21">
        <f t="shared" si="2"/>
        <v>9</v>
      </c>
      <c r="C21" s="6" t="s">
        <v>3405</v>
      </c>
      <c r="D21" s="6" t="s">
        <v>3406</v>
      </c>
      <c r="E21" s="8"/>
      <c r="F21" s="7" t="s">
        <v>318</v>
      </c>
      <c r="G21" s="7" t="str">
        <f t="shared" ref="G21:G23" si="7">IF(F21="フラグ","boolean",IF(F21="文字列","text",IF(F21="整数","integer",IF(F21="実数","numeric",""))))</f>
        <v>text</v>
      </c>
      <c r="H21" s="26"/>
      <c r="I21" s="10"/>
      <c r="J21" s="11"/>
      <c r="M21" s="4"/>
      <c r="N21" s="78"/>
      <c r="O21" s="78"/>
      <c r="P21" s="78" t="str">
        <f t="shared" ref="P21:P23" si="8">IF(B21&lt;&gt;1,","&amp;D21,D21)</f>
        <v>,icd10_2_m_code</v>
      </c>
      <c r="Q21" s="78" t="str">
        <f t="shared" ref="Q21:Q23" si="9">UPPER(G21)</f>
        <v>TEXT</v>
      </c>
      <c r="R21" s="78" t="str">
        <f t="shared" ref="R21:R23" si="10">IF(H21&lt;&gt;"","default "&amp;IF(G21="text","'"&amp;H21&amp;"'",H21),"")</f>
        <v/>
      </c>
      <c r="S21" s="78" t="str">
        <f t="shared" ref="S21:S23" si="11">IF(I21="○","NOT NULL","")</f>
        <v/>
      </c>
      <c r="T21" s="78" t="str">
        <f t="shared" ref="T21:T23" si="12">"-- "&amp;C21</f>
        <v>-- ICD10-2中分類コード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milscm_2023_010.azn_202310_backup_mt_shippei.icd10_2_m_code IS 'ICD10-2中分類コード';</v>
      </c>
    </row>
    <row r="22" spans="1:52" s="25" customFormat="1">
      <c r="A22" s="4"/>
      <c r="B22" s="21">
        <f t="shared" si="2"/>
        <v>10</v>
      </c>
      <c r="C22" s="6" t="s">
        <v>3407</v>
      </c>
      <c r="D22" s="6" t="s">
        <v>3408</v>
      </c>
      <c r="E22" s="8"/>
      <c r="F22" s="7" t="s">
        <v>318</v>
      </c>
      <c r="G22" s="7" t="str">
        <f t="shared" si="7"/>
        <v>text</v>
      </c>
      <c r="H22" s="26"/>
      <c r="I22" s="10"/>
      <c r="J22" s="11"/>
      <c r="M22" s="4"/>
      <c r="N22" s="78"/>
      <c r="O22" s="78"/>
      <c r="P22" s="78" t="str">
        <f t="shared" si="8"/>
        <v>,icd10_2_s_code</v>
      </c>
      <c r="Q22" s="78" t="str">
        <f t="shared" si="9"/>
        <v>TEXT</v>
      </c>
      <c r="R22" s="78" t="str">
        <f t="shared" si="10"/>
        <v/>
      </c>
      <c r="S22" s="78" t="str">
        <f t="shared" si="11"/>
        <v/>
      </c>
      <c r="T22" s="78" t="str">
        <f t="shared" si="12"/>
        <v>-- ICD10-2小分類コード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milscm_2023_010.azn_202310_backup_mt_shippei.icd10_2_s_code IS 'ICD10-2小分類コード';</v>
      </c>
    </row>
    <row r="23" spans="1:52" s="25" customFormat="1">
      <c r="A23" s="4"/>
      <c r="B23" s="21">
        <f t="shared" si="2"/>
        <v>11</v>
      </c>
      <c r="C23" s="6" t="s">
        <v>3409</v>
      </c>
      <c r="D23" s="6" t="s">
        <v>3410</v>
      </c>
      <c r="E23" s="8"/>
      <c r="F23" s="7" t="s">
        <v>318</v>
      </c>
      <c r="G23" s="7" t="str">
        <f t="shared" si="7"/>
        <v>text</v>
      </c>
      <c r="H23" s="26"/>
      <c r="I23" s="10"/>
      <c r="J23" s="11"/>
      <c r="M23" s="4"/>
      <c r="N23" s="78"/>
      <c r="O23" s="78"/>
      <c r="P23" s="78" t="str">
        <f t="shared" si="8"/>
        <v>,icd10_2_ss_code</v>
      </c>
      <c r="Q23" s="78" t="str">
        <f t="shared" si="9"/>
        <v>TEXT</v>
      </c>
      <c r="R23" s="78" t="str">
        <f t="shared" si="10"/>
        <v/>
      </c>
      <c r="S23" s="78" t="str">
        <f t="shared" si="11"/>
        <v/>
      </c>
      <c r="T23" s="78" t="str">
        <f t="shared" si="12"/>
        <v>-- ICD10-2細分類コード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milscm_2023_010.azn_202310_backup_mt_shippei.icd10_2_ss_code IS 'ICD10-2細分類コード';</v>
      </c>
    </row>
    <row r="24" spans="1:52" s="25" customFormat="1">
      <c r="A24" s="4"/>
      <c r="B24" s="21">
        <f t="shared" si="2"/>
        <v>12</v>
      </c>
      <c r="C24" s="6" t="s">
        <v>3411</v>
      </c>
      <c r="D24" s="6" t="s">
        <v>3412</v>
      </c>
      <c r="E24" s="8"/>
      <c r="F24" s="7" t="s">
        <v>318</v>
      </c>
      <c r="G24" s="7" t="str">
        <f t="shared" si="3"/>
        <v>text</v>
      </c>
      <c r="H24" s="26"/>
      <c r="I24" s="10" t="s">
        <v>127</v>
      </c>
      <c r="J24" s="11"/>
      <c r="M24" s="4"/>
      <c r="N24" s="78"/>
      <c r="O24" s="78"/>
      <c r="P24" s="78" t="str">
        <f t="shared" si="4"/>
        <v>,shippei_name</v>
      </c>
      <c r="Q24" s="78" t="str">
        <f t="shared" si="0"/>
        <v>TEXT</v>
      </c>
      <c r="R24" s="78" t="str">
        <f t="shared" si="1"/>
        <v/>
      </c>
      <c r="S24" s="78" t="str">
        <f t="shared" si="5"/>
        <v>NOT NULL</v>
      </c>
      <c r="T24" s="78" t="str">
        <f t="shared" si="6"/>
        <v>-- 疾病名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milscm_2023_010.azn_202310_backup_mt_shippei.shippei_name IS '疾病名';</v>
      </c>
    </row>
    <row r="25" spans="1:52" s="25" customFormat="1">
      <c r="A25" s="4"/>
      <c r="B25" s="21">
        <f t="shared" si="2"/>
        <v>13</v>
      </c>
      <c r="C25" s="6" t="s">
        <v>3354</v>
      </c>
      <c r="D25" s="6" t="s">
        <v>3355</v>
      </c>
      <c r="E25" s="8"/>
      <c r="F25" s="7" t="s">
        <v>318</v>
      </c>
      <c r="G25" s="7" t="str">
        <f t="shared" si="3"/>
        <v>text</v>
      </c>
      <c r="H25" s="26"/>
      <c r="I25" s="10" t="s">
        <v>127</v>
      </c>
      <c r="J25" s="11" t="s">
        <v>3362</v>
      </c>
      <c r="M25" s="4"/>
      <c r="N25" s="78"/>
      <c r="O25" s="78"/>
      <c r="P25" s="78" t="str">
        <f t="shared" si="4"/>
        <v>,nen</v>
      </c>
      <c r="Q25" s="78" t="str">
        <f t="shared" si="0"/>
        <v>TEXT</v>
      </c>
      <c r="R25" s="78" t="str">
        <f t="shared" si="1"/>
        <v/>
      </c>
      <c r="S25" s="78" t="str">
        <f t="shared" si="5"/>
        <v>NOT NULL</v>
      </c>
      <c r="T25" s="78" t="str">
        <f t="shared" si="6"/>
        <v>-- 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milscm_2023_010.azn_202310_backup_mt_shippei.nen IS '年';</v>
      </c>
    </row>
    <row r="26" spans="1:52" s="25" customFormat="1">
      <c r="A26" s="4"/>
      <c r="B26" s="21">
        <f t="shared" si="2"/>
        <v>14</v>
      </c>
      <c r="C26" s="6" t="s">
        <v>3356</v>
      </c>
      <c r="D26" s="6" t="s">
        <v>3357</v>
      </c>
      <c r="E26" s="8"/>
      <c r="F26" s="7" t="s">
        <v>318</v>
      </c>
      <c r="G26" s="7" t="str">
        <f t="shared" si="3"/>
        <v>text</v>
      </c>
      <c r="H26" s="26"/>
      <c r="I26" s="10" t="s">
        <v>127</v>
      </c>
      <c r="J26" s="11" t="s">
        <v>3363</v>
      </c>
      <c r="M26" s="4"/>
      <c r="N26" s="78"/>
      <c r="O26" s="78"/>
      <c r="P26" s="78" t="str">
        <f t="shared" si="4"/>
        <v>,nengetsu</v>
      </c>
      <c r="Q26" s="78" t="str">
        <f t="shared" si="0"/>
        <v>TEXT</v>
      </c>
      <c r="R26" s="78" t="str">
        <f t="shared" si="1"/>
        <v/>
      </c>
      <c r="S26" s="78" t="str">
        <f t="shared" si="5"/>
        <v>NOT NULL</v>
      </c>
      <c r="T26" s="78" t="str">
        <f t="shared" si="6"/>
        <v>-- 年月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milscm_2023_010.azn_202310_backup_mt_shippei.nengetsu IS '年月';</v>
      </c>
    </row>
    <row r="27" spans="1:52" s="25" customFormat="1" ht="19.5" thickBot="1">
      <c r="A27" s="4"/>
      <c r="B27" s="27">
        <f>ROW()-12</f>
        <v>15</v>
      </c>
      <c r="C27" s="57" t="s">
        <v>3358</v>
      </c>
      <c r="D27" s="57" t="s">
        <v>1926</v>
      </c>
      <c r="E27" s="56"/>
      <c r="F27" s="56" t="s">
        <v>318</v>
      </c>
      <c r="G27" s="56" t="str">
        <f t="shared" si="3"/>
        <v>text</v>
      </c>
      <c r="H27" s="59"/>
      <c r="I27" s="60" t="s">
        <v>127</v>
      </c>
      <c r="J27" s="64" t="s">
        <v>2444</v>
      </c>
      <c r="N27" s="78"/>
      <c r="O27" s="78"/>
      <c r="P27" s="78" t="str">
        <f t="shared" si="4"/>
        <v>,update_ymd</v>
      </c>
      <c r="Q27" s="78" t="str">
        <f t="shared" si="0"/>
        <v>TEXT</v>
      </c>
      <c r="R27" s="78" t="str">
        <f t="shared" si="1"/>
        <v/>
      </c>
      <c r="S27" s="78" t="str">
        <f t="shared" si="5"/>
        <v>NOT NULL</v>
      </c>
      <c r="T27" s="78" t="str">
        <f t="shared" si="6"/>
        <v>-- データ登録日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milscm_2023_010.azn_202310_backup_mt_shippei.update_ymd IS 'データ登録日';</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2F00-000000000000}"/>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ENT_01_A3-30</v>
      </c>
      <c r="E6" s="239"/>
      <c r="F6" s="239"/>
      <c r="G6" s="239"/>
      <c r="H6" s="239"/>
      <c r="I6" s="239"/>
      <c r="J6" s="240"/>
    </row>
    <row r="7" spans="1:45">
      <c r="B7" s="228" t="s">
        <v>115</v>
      </c>
      <c r="C7" s="229"/>
      <c r="D7" s="230" t="s">
        <v>3298</v>
      </c>
      <c r="E7" s="231"/>
      <c r="F7" s="231"/>
      <c r="G7" s="231"/>
      <c r="H7" s="231"/>
      <c r="I7" s="231"/>
      <c r="J7" s="232"/>
    </row>
    <row r="8" spans="1:45">
      <c r="B8" s="228" t="s">
        <v>116</v>
      </c>
      <c r="C8" s="229"/>
      <c r="D8" s="230" t="str">
        <f>エンティティ一覧!AE2&amp;"_"&amp;D5&amp;"_mt_icd10_l"</f>
        <v>azn_202310_backup_mt_icd10_l</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ICD10大分類マスタテーブルから組入れ条件の第一条件で絞り込んだ結果を格納するテーブル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milscm_2023_010.azn_202310_backup_mt_icd10_l;</v>
      </c>
      <c r="O10" s="78"/>
      <c r="P10" s="78"/>
      <c r="Q10" s="78"/>
      <c r="R10" s="78"/>
      <c r="S10" s="78"/>
      <c r="T10" s="78"/>
      <c r="AJ10" s="78" t="str">
        <f>"ALTER TABLE ONLY "&amp;エンティティ一覧!$O$2&amp;"."&amp;D$8</f>
        <v>ALTER TABLE ONLY milscm_2023_010.azn_202310_backup_mt_icd10_l</v>
      </c>
      <c r="AS10" s="78" t="str">
        <f>"ALTER TABLE "&amp;エンティティ一覧!$O$2&amp;"."&amp;D$8&amp;" OWNER TO pgmisgrp1;"</f>
        <v>ALTER TABLE milscm_2023_010.azn_202310_backup_mt_icd10_l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milscm_2023_010.azn_202310_backup_mt_icd10_l</v>
      </c>
      <c r="O11" s="78"/>
      <c r="P11" s="78"/>
      <c r="Q11" s="78"/>
      <c r="R11" s="78"/>
      <c r="S11" s="78"/>
      <c r="T11" s="78"/>
      <c r="AJ11" s="78" t="str">
        <f>"ADD CONSTRAINT "&amp;D$8&amp;"_pkey PRIMARY KEY"</f>
        <v>ADD CONSTRAINT azn_202310_backup_mt_icd10_l_pkey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milscm_2023_010.azn_202310_backup_mt_icd10_l IS 'バックアップ_ICD10大分類マスタ';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milscm_2023_010.azn_202310_backup_mt_icd10_l.sekoubi IS '施行日';</v>
      </c>
    </row>
    <row r="14" spans="1:45" s="25" customFormat="1">
      <c r="A14" s="4"/>
      <c r="B14" s="21">
        <f t="shared" ref="B14:B19" si="2">ROW()-12</f>
        <v>2</v>
      </c>
      <c r="C14" s="6" t="s">
        <v>3335</v>
      </c>
      <c r="D14" s="6" t="s">
        <v>2092</v>
      </c>
      <c r="E14" s="8" t="s">
        <v>127</v>
      </c>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,koshin_kubun</v>
      </c>
      <c r="Q14" s="78" t="str">
        <f t="shared" si="0"/>
        <v>TEXT</v>
      </c>
      <c r="R14" s="78" t="str">
        <f t="shared" si="1"/>
        <v/>
      </c>
      <c r="S14" s="78" t="str">
        <f t="shared" ref="S14:S20" si="5">IF(I14="○","NOT NULL","")</f>
        <v>NOT NULL</v>
      </c>
      <c r="T14" s="78" t="str">
        <f t="shared" ref="T14:T20"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milscm_2023_010.azn_202310_backup_mt_icd10_l.koshin_kubun IS '更新区分';</v>
      </c>
    </row>
    <row r="15" spans="1:45" s="25" customFormat="1">
      <c r="A15" s="4"/>
      <c r="B15" s="21">
        <f t="shared" si="2"/>
        <v>3</v>
      </c>
      <c r="C15" s="6" t="s">
        <v>2698</v>
      </c>
      <c r="D15" s="6" t="s">
        <v>3413</v>
      </c>
      <c r="E15" s="8" t="s">
        <v>127</v>
      </c>
      <c r="F15" s="7" t="s">
        <v>318</v>
      </c>
      <c r="G15" s="7" t="str">
        <f t="shared" si="3"/>
        <v>text</v>
      </c>
      <c r="H15" s="26"/>
      <c r="I15" s="10" t="s">
        <v>127</v>
      </c>
      <c r="J15" s="11"/>
      <c r="M15" s="4"/>
      <c r="N15" s="78"/>
      <c r="O15" s="78"/>
      <c r="P15" s="78" t="str">
        <f t="shared" si="4"/>
        <v>,icd10_l_code</v>
      </c>
      <c r="Q15" s="78" t="str">
        <f t="shared" si="0"/>
        <v>TEXT</v>
      </c>
      <c r="R15" s="78" t="str">
        <f t="shared" si="1"/>
        <v/>
      </c>
      <c r="S15" s="78" t="str">
        <f t="shared" si="5"/>
        <v>NOT NULL</v>
      </c>
      <c r="T15" s="78" t="str">
        <f t="shared" si="6"/>
        <v>-- ICD10大分類コード</v>
      </c>
      <c r="U15" s="4"/>
      <c r="AA15" s="4"/>
      <c r="AB15" s="4"/>
      <c r="AC15" s="4"/>
      <c r="AD15" s="4"/>
      <c r="AE15" s="4"/>
      <c r="AF15" s="4"/>
      <c r="AG15" s="4"/>
      <c r="AH15" s="4"/>
      <c r="AI15" s="4"/>
      <c r="AJ15" s="78" t="str">
        <f>IF(E15="○",IF(COUNTA(E$13:E15)=1,"",",")&amp;D15,"")</f>
        <v>,icd10_l_code</v>
      </c>
      <c r="AK15" s="4"/>
      <c r="AL15" s="4"/>
      <c r="AM15" s="4"/>
      <c r="AN15" s="4"/>
      <c r="AO15" s="4"/>
      <c r="AP15" s="4"/>
      <c r="AQ15" s="4"/>
      <c r="AR15" s="4"/>
      <c r="AS15" s="78" t="str">
        <f>"COMMENT ON COLUMN "&amp;エンティティ一覧!$O$2&amp;"."&amp;D$8&amp;"."&amp;D15&amp;" IS '"&amp;C15&amp;"';"</f>
        <v>COMMENT ON COLUMN milscm_2023_010.azn_202310_backup_mt_icd10_l.icd10_l_code IS 'ICD10大分類コード';</v>
      </c>
    </row>
    <row r="16" spans="1:45" s="25" customFormat="1">
      <c r="A16" s="4"/>
      <c r="B16" s="21">
        <f t="shared" si="2"/>
        <v>4</v>
      </c>
      <c r="C16" s="6" t="s">
        <v>2705</v>
      </c>
      <c r="D16" s="6" t="s">
        <v>2706</v>
      </c>
      <c r="E16" s="8"/>
      <c r="F16" s="7" t="s">
        <v>318</v>
      </c>
      <c r="G16" s="7" t="str">
        <f t="shared" si="3"/>
        <v>text</v>
      </c>
      <c r="H16" s="26"/>
      <c r="I16" s="10" t="s">
        <v>127</v>
      </c>
      <c r="J16" s="11"/>
      <c r="M16" s="4"/>
      <c r="N16" s="78"/>
      <c r="O16" s="78"/>
      <c r="P16" s="78" t="str">
        <f t="shared" si="4"/>
        <v>,icd10_l_name</v>
      </c>
      <c r="Q16" s="78" t="str">
        <f t="shared" si="0"/>
        <v>TEXT</v>
      </c>
      <c r="R16" s="78" t="str">
        <f t="shared" si="1"/>
        <v/>
      </c>
      <c r="S16" s="78" t="str">
        <f t="shared" si="5"/>
        <v>NOT NULL</v>
      </c>
      <c r="T16" s="78" t="str">
        <f t="shared" si="6"/>
        <v>-- ICD10大分類名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milscm_2023_010.azn_202310_backup_mt_icd10_l.icd10_l_name IS 'ICD10大分類名';</v>
      </c>
    </row>
    <row r="17" spans="1:52" s="25" customFormat="1">
      <c r="A17" s="4"/>
      <c r="B17" s="21">
        <f t="shared" si="2"/>
        <v>5</v>
      </c>
      <c r="C17" s="6" t="s">
        <v>3352</v>
      </c>
      <c r="D17" s="6" t="s">
        <v>3353</v>
      </c>
      <c r="E17" s="8"/>
      <c r="F17" s="7" t="s">
        <v>318</v>
      </c>
      <c r="G17" s="7" t="str">
        <f t="shared" si="3"/>
        <v>text</v>
      </c>
      <c r="H17" s="26"/>
      <c r="I17" s="10"/>
      <c r="J17" s="11" t="s">
        <v>3361</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milscm_2023_010.azn_202310_backup_mt_icd10_l.ikosaki IS '移行先';</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milscm_2023_010.azn_202310_backup_mt_icd10_l.nen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milscm_2023_010.azn_202310_backup_mt_icd10_l.nengetsu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milscm_2023_010.azn_202310_backup_mt_icd10_l.update_ymd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000-000000000000}"/>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ENT_01_A3-31</v>
      </c>
      <c r="E6" s="239"/>
      <c r="F6" s="239"/>
      <c r="G6" s="239"/>
      <c r="H6" s="239"/>
      <c r="I6" s="239"/>
      <c r="J6" s="240"/>
    </row>
    <row r="7" spans="1:45">
      <c r="B7" s="228" t="s">
        <v>115</v>
      </c>
      <c r="C7" s="229"/>
      <c r="D7" s="230" t="s">
        <v>3299</v>
      </c>
      <c r="E7" s="231"/>
      <c r="F7" s="231"/>
      <c r="G7" s="231"/>
      <c r="H7" s="231"/>
      <c r="I7" s="231"/>
      <c r="J7" s="232"/>
    </row>
    <row r="8" spans="1:45">
      <c r="B8" s="228" t="s">
        <v>116</v>
      </c>
      <c r="C8" s="229"/>
      <c r="D8" s="230" t="str">
        <f>エンティティ一覧!AE2&amp;"_"&amp;D5&amp;"_mt_icd10_m"</f>
        <v>azn_202310_backup_mt_icd10_m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ICD10中分類マスタテーブルから組入れ条件の第一条件で絞り込んだ結果を格納するテーブル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milscm_2023_010.azn_202310_backup_mt_icd10_m;</v>
      </c>
      <c r="O10" s="78"/>
      <c r="P10" s="78"/>
      <c r="Q10" s="78"/>
      <c r="R10" s="78"/>
      <c r="S10" s="78"/>
      <c r="T10" s="78"/>
      <c r="AJ10" s="78" t="str">
        <f>"ALTER TABLE ONLY "&amp;エンティティ一覧!$O$2&amp;"."&amp;D$8</f>
        <v>ALTER TABLE ONLY milscm_2023_010.azn_202310_backup_mt_icd10_m</v>
      </c>
      <c r="AS10" s="78" t="str">
        <f>"ALTER TABLE "&amp;エンティティ一覧!$O$2&amp;"."&amp;D$8&amp;" OWNER TO pgmisgrp1;"</f>
        <v>ALTER TABLE milscm_2023_010.azn_202310_backup_mt_icd10_m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milscm_2023_010.azn_202310_backup_mt_icd10_m</v>
      </c>
      <c r="O11" s="78"/>
      <c r="P11" s="78"/>
      <c r="Q11" s="78"/>
      <c r="R11" s="78"/>
      <c r="S11" s="78"/>
      <c r="T11" s="78"/>
      <c r="AJ11" s="78" t="str">
        <f>"ADD CONSTRAINT "&amp;D$8&amp;"_pkey PRIMARY KEY"</f>
        <v>ADD CONSTRAINT azn_202310_backup_mt_icd10_m_pkey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milscm_2023_010.azn_202310_backup_mt_icd10_m IS 'バックアップ_ICD10中分類マスタ';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milscm_2023_010.azn_202310_backup_mt_icd10_m.sekoubi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milscm_2023_010.azn_202310_backup_mt_icd10_m.koshin_kubun IS '更新区分';</v>
      </c>
    </row>
    <row r="15" spans="1:45" s="25" customFormat="1">
      <c r="A15" s="4"/>
      <c r="B15" s="21">
        <f t="shared" si="2"/>
        <v>3</v>
      </c>
      <c r="C15" s="6" t="s">
        <v>2700</v>
      </c>
      <c r="D15" s="6" t="s">
        <v>3414</v>
      </c>
      <c r="E15" s="8" t="s">
        <v>127</v>
      </c>
      <c r="F15" s="7" t="s">
        <v>318</v>
      </c>
      <c r="G15" s="7" t="str">
        <f t="shared" si="3"/>
        <v>text</v>
      </c>
      <c r="H15" s="26"/>
      <c r="I15" s="10" t="s">
        <v>127</v>
      </c>
      <c r="J15" s="11"/>
      <c r="M15" s="4"/>
      <c r="N15" s="78"/>
      <c r="O15" s="78"/>
      <c r="P15" s="78" t="str">
        <f t="shared" si="4"/>
        <v>,icd10_m_code</v>
      </c>
      <c r="Q15" s="78" t="str">
        <f t="shared" si="0"/>
        <v>TEXT</v>
      </c>
      <c r="R15" s="78" t="str">
        <f t="shared" si="1"/>
        <v/>
      </c>
      <c r="S15" s="78" t="str">
        <f t="shared" si="5"/>
        <v>NOT NULL</v>
      </c>
      <c r="T15" s="78" t="str">
        <f t="shared" si="6"/>
        <v>-- ICD10中分類コード</v>
      </c>
      <c r="U15" s="4"/>
      <c r="AA15" s="4"/>
      <c r="AB15" s="4"/>
      <c r="AC15" s="4"/>
      <c r="AD15" s="4"/>
      <c r="AE15" s="4"/>
      <c r="AF15" s="4"/>
      <c r="AG15" s="4"/>
      <c r="AH15" s="4"/>
      <c r="AI15" s="4"/>
      <c r="AJ15" s="78" t="str">
        <f>IF(E15="○",IF(COUNTA(E$13:E15)=1,"",",")&amp;D15,"")</f>
        <v>,icd10_m_code</v>
      </c>
      <c r="AK15" s="4"/>
      <c r="AL15" s="4"/>
      <c r="AM15" s="4"/>
      <c r="AN15" s="4"/>
      <c r="AO15" s="4"/>
      <c r="AP15" s="4"/>
      <c r="AQ15" s="4"/>
      <c r="AR15" s="4"/>
      <c r="AS15" s="78" t="str">
        <f>"COMMENT ON COLUMN "&amp;エンティティ一覧!$O$2&amp;"."&amp;D$8&amp;"."&amp;D15&amp;" IS '"&amp;C15&amp;"';"</f>
        <v>COMMENT ON COLUMN milscm_2023_010.azn_202310_backup_mt_icd10_m.icd10_m_code IS 'ICD10中分類コード';</v>
      </c>
    </row>
    <row r="16" spans="1:45" s="25" customFormat="1">
      <c r="A16" s="4"/>
      <c r="B16" s="21">
        <f t="shared" si="2"/>
        <v>4</v>
      </c>
      <c r="C16" s="6" t="s">
        <v>2707</v>
      </c>
      <c r="D16" s="6" t="s">
        <v>2708</v>
      </c>
      <c r="E16" s="8"/>
      <c r="F16" s="7" t="s">
        <v>318</v>
      </c>
      <c r="G16" s="7" t="str">
        <f t="shared" si="3"/>
        <v>text</v>
      </c>
      <c r="H16" s="26"/>
      <c r="I16" s="10" t="s">
        <v>127</v>
      </c>
      <c r="J16" s="11"/>
      <c r="M16" s="4"/>
      <c r="N16" s="78"/>
      <c r="O16" s="78"/>
      <c r="P16" s="78" t="str">
        <f t="shared" si="4"/>
        <v>,icd10_m_name</v>
      </c>
      <c r="Q16" s="78" t="str">
        <f t="shared" si="0"/>
        <v>TEXT</v>
      </c>
      <c r="R16" s="78" t="str">
        <f t="shared" si="1"/>
        <v/>
      </c>
      <c r="S16" s="78" t="str">
        <f t="shared" si="5"/>
        <v>NOT NULL</v>
      </c>
      <c r="T16" s="78" t="str">
        <f t="shared" si="6"/>
        <v>-- ICD10中分類名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milscm_2023_010.azn_202310_backup_mt_icd10_m.icd10_m_name IS 'ICD10中分類名';</v>
      </c>
    </row>
    <row r="17" spans="1:52" s="25" customFormat="1">
      <c r="A17" s="4"/>
      <c r="B17" s="21">
        <f t="shared" si="2"/>
        <v>5</v>
      </c>
      <c r="C17" s="6" t="s">
        <v>2698</v>
      </c>
      <c r="D17" s="6" t="s">
        <v>3413</v>
      </c>
      <c r="E17" s="8"/>
      <c r="F17" s="7" t="s">
        <v>318</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milscm_2023_010.azn_202310_backup_mt_icd10_m.icd10_l_code IS 'ICD10大分類コード';</v>
      </c>
    </row>
    <row r="18" spans="1:52" s="25" customFormat="1">
      <c r="A18" s="4"/>
      <c r="B18" s="21">
        <f t="shared" si="2"/>
        <v>6</v>
      </c>
      <c r="C18" s="6" t="s">
        <v>3352</v>
      </c>
      <c r="D18" s="6" t="s">
        <v>3353</v>
      </c>
      <c r="E18" s="8"/>
      <c r="F18" s="7" t="s">
        <v>318</v>
      </c>
      <c r="G18" s="7" t="str">
        <f t="shared" ref="G18" si="7">IF(F18="フラグ","boolean",IF(F18="文字列","text",IF(F18="整数","integer",IF(F18="実数","numeric",""))))</f>
        <v>text</v>
      </c>
      <c r="H18" s="26"/>
      <c r="I18" s="10"/>
      <c r="J18" s="11" t="s">
        <v>3361</v>
      </c>
      <c r="M18" s="4"/>
      <c r="N18" s="78"/>
      <c r="O18" s="78"/>
      <c r="P18" s="78" t="str">
        <f t="shared" ref="P18" si="8">IF(B18&lt;&gt;1,","&amp;D18,D18)</f>
        <v>,ikosaki</v>
      </c>
      <c r="Q18" s="78" t="str">
        <f t="shared" ref="Q18" si="9">UPPER(G18)</f>
        <v>TEXT</v>
      </c>
      <c r="R18" s="78" t="str">
        <f t="shared" ref="R18" si="10">IF(H18&lt;&gt;"","default "&amp;IF(G18="text","'"&amp;H18&amp;"'",H18),"")</f>
        <v/>
      </c>
      <c r="S18" s="78" t="str">
        <f t="shared" ref="S18" si="11">IF(I18="○","NOT NULL","")</f>
        <v/>
      </c>
      <c r="T18" s="78" t="str">
        <f t="shared" ref="T18" si="12">"-- "&amp;C18</f>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milscm_2023_010.azn_202310_backup_mt_icd10_m.ikosaki IS '移行先';</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milscm_2023_010.azn_202310_backup_mt_icd10_m.nen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milscm_2023_010.azn_202310_backup_mt_icd10_m.nengetsu IS '年月';</v>
      </c>
    </row>
    <row r="21" spans="1:52" s="25" customFormat="1" ht="19.5"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milscm_2023_010.azn_202310_backup_mt_icd10_m.update_ymd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100-000000000000}"/>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AZ4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ENT_01_A3-32</v>
      </c>
      <c r="E6" s="239"/>
      <c r="F6" s="239"/>
      <c r="G6" s="239"/>
      <c r="H6" s="239"/>
      <c r="I6" s="239"/>
      <c r="J6" s="240"/>
    </row>
    <row r="7" spans="1:45">
      <c r="B7" s="228" t="s">
        <v>115</v>
      </c>
      <c r="C7" s="229"/>
      <c r="D7" s="230" t="s">
        <v>3300</v>
      </c>
      <c r="E7" s="231"/>
      <c r="F7" s="231"/>
      <c r="G7" s="231"/>
      <c r="H7" s="231"/>
      <c r="I7" s="231"/>
      <c r="J7" s="232"/>
    </row>
    <row r="8" spans="1:45">
      <c r="B8" s="228" t="s">
        <v>116</v>
      </c>
      <c r="C8" s="229"/>
      <c r="D8" s="230" t="str">
        <f>エンティティ一覧!AE2&amp;"_"&amp;D5&amp;"_mt_icd10_s"</f>
        <v>azn_202310_backup_mt_icd10_s</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ICD10小分類マスタテーブルから組入れ条件の第一条件で絞り込んだ結果を格納するテーブル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milscm_2023_010.azn_202310_backup_mt_icd10_s;</v>
      </c>
      <c r="O10" s="78"/>
      <c r="P10" s="78"/>
      <c r="Q10" s="78"/>
      <c r="R10" s="78"/>
      <c r="S10" s="78"/>
      <c r="T10" s="78"/>
      <c r="AJ10" s="78" t="str">
        <f>"ALTER TABLE ONLY "&amp;エンティティ一覧!$O$2&amp;"."&amp;D$8</f>
        <v>ALTER TABLE ONLY milscm_2023_010.azn_202310_backup_mt_icd10_s</v>
      </c>
      <c r="AS10" s="78" t="str">
        <f>"ALTER TABLE "&amp;エンティティ一覧!$O$2&amp;"."&amp;D$8&amp;" OWNER TO pgmisgrp1;"</f>
        <v>ALTER TABLE milscm_2023_010.azn_202310_backup_mt_icd10_s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milscm_2023_010.azn_202310_backup_mt_icd10_s</v>
      </c>
      <c r="O11" s="78"/>
      <c r="P11" s="78"/>
      <c r="Q11" s="78"/>
      <c r="R11" s="78"/>
      <c r="S11" s="78"/>
      <c r="T11" s="78"/>
      <c r="AJ11" s="78" t="str">
        <f>"ADD CONSTRAINT "&amp;D$8&amp;"_pkey PRIMARY KEY"</f>
        <v>ADD CONSTRAINT azn_202310_backup_mt_icd10_s_pkey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milscm_2023_010.azn_202310_backup_mt_icd10_s IS 'バックアップ_ICD10小分類マスタ';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2" si="0">UPPER(G13)</f>
        <v>TEXT</v>
      </c>
      <c r="R13" s="78" t="str">
        <f t="shared" ref="R13:R2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milscm_2023_010.azn_202310_backup_mt_icd10_s.sekoubi IS '施行日';</v>
      </c>
    </row>
    <row r="14" spans="1:45" s="25" customFormat="1">
      <c r="A14" s="4"/>
      <c r="B14" s="21">
        <f t="shared" ref="B14:B21" si="2">ROW()-12</f>
        <v>2</v>
      </c>
      <c r="C14" s="6" t="s">
        <v>3335</v>
      </c>
      <c r="D14" s="6" t="s">
        <v>2092</v>
      </c>
      <c r="E14" s="8" t="s">
        <v>127</v>
      </c>
      <c r="F14" s="7" t="s">
        <v>318</v>
      </c>
      <c r="G14" s="7" t="str">
        <f t="shared" ref="G14:G22" si="3">IF(F14="フラグ","boolean",IF(F14="文字列","text",IF(F14="整数","integer",IF(F14="実数","numeric",""))))</f>
        <v>text</v>
      </c>
      <c r="H14" s="26"/>
      <c r="I14" s="10" t="s">
        <v>127</v>
      </c>
      <c r="J14" s="11" t="s">
        <v>3360</v>
      </c>
      <c r="M14" s="4"/>
      <c r="N14" s="78"/>
      <c r="O14" s="78"/>
      <c r="P14" s="78" t="str">
        <f t="shared" ref="P14:P22" si="4">IF(B14&lt;&gt;1,","&amp;D14,D14)</f>
        <v>,koshin_kubun</v>
      </c>
      <c r="Q14" s="78" t="str">
        <f t="shared" si="0"/>
        <v>TEXT</v>
      </c>
      <c r="R14" s="78" t="str">
        <f t="shared" si="1"/>
        <v/>
      </c>
      <c r="S14" s="78" t="str">
        <f t="shared" ref="S14:S22" si="5">IF(I14="○","NOT NULL","")</f>
        <v>NOT NULL</v>
      </c>
      <c r="T14" s="78" t="str">
        <f t="shared" ref="T14:T2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milscm_2023_010.azn_202310_backup_mt_icd10_s.koshin_kubun IS '更新区分';</v>
      </c>
    </row>
    <row r="15" spans="1:45" s="25" customFormat="1">
      <c r="A15" s="4"/>
      <c r="B15" s="21">
        <f t="shared" si="2"/>
        <v>3</v>
      </c>
      <c r="C15" s="6" t="s">
        <v>2702</v>
      </c>
      <c r="D15" s="6" t="s">
        <v>3415</v>
      </c>
      <c r="E15" s="8" t="s">
        <v>127</v>
      </c>
      <c r="F15" s="7" t="s">
        <v>318</v>
      </c>
      <c r="G15" s="7" t="str">
        <f t="shared" si="3"/>
        <v>text</v>
      </c>
      <c r="H15" s="26"/>
      <c r="I15" s="10" t="s">
        <v>127</v>
      </c>
      <c r="J15" s="11"/>
      <c r="M15" s="4"/>
      <c r="N15" s="78"/>
      <c r="O15" s="78"/>
      <c r="P15" s="78" t="str">
        <f t="shared" si="4"/>
        <v>,icd10_s_code</v>
      </c>
      <c r="Q15" s="78" t="str">
        <f t="shared" si="0"/>
        <v>TEXT</v>
      </c>
      <c r="R15" s="78" t="str">
        <f t="shared" si="1"/>
        <v/>
      </c>
      <c r="S15" s="78" t="str">
        <f t="shared" si="5"/>
        <v>NOT NULL</v>
      </c>
      <c r="T15" s="78" t="str">
        <f t="shared" si="6"/>
        <v>-- ICD10小分類コード</v>
      </c>
      <c r="U15" s="4"/>
      <c r="AA15" s="4"/>
      <c r="AB15" s="4"/>
      <c r="AC15" s="4"/>
      <c r="AD15" s="4"/>
      <c r="AE15" s="4"/>
      <c r="AF15" s="4"/>
      <c r="AG15" s="4"/>
      <c r="AH15" s="4"/>
      <c r="AI15" s="4"/>
      <c r="AJ15" s="78" t="str">
        <f>IF(E15="○",IF(COUNTA(E$13:E15)=1,"",",")&amp;D15,"")</f>
        <v>,icd10_s_code</v>
      </c>
      <c r="AK15" s="4"/>
      <c r="AL15" s="4"/>
      <c r="AM15" s="4"/>
      <c r="AN15" s="4"/>
      <c r="AO15" s="4"/>
      <c r="AP15" s="4"/>
      <c r="AQ15" s="4"/>
      <c r="AR15" s="4"/>
      <c r="AS15" s="78" t="str">
        <f>"COMMENT ON COLUMN "&amp;エンティティ一覧!$O$2&amp;"."&amp;D$8&amp;"."&amp;D15&amp;" IS '"&amp;C15&amp;"';"</f>
        <v>COMMENT ON COLUMN milscm_2023_010.azn_202310_backup_mt_icd10_s.icd10_s_code IS 'ICD10小分類コード';</v>
      </c>
    </row>
    <row r="16" spans="1:45" s="25" customFormat="1">
      <c r="A16" s="4"/>
      <c r="B16" s="21">
        <f t="shared" si="2"/>
        <v>4</v>
      </c>
      <c r="C16" s="6" t="s">
        <v>2709</v>
      </c>
      <c r="D16" s="6" t="s">
        <v>901</v>
      </c>
      <c r="E16" s="8"/>
      <c r="F16" s="7" t="s">
        <v>318</v>
      </c>
      <c r="G16" s="7" t="str">
        <f t="shared" si="3"/>
        <v>text</v>
      </c>
      <c r="H16" s="26"/>
      <c r="I16" s="10" t="s">
        <v>127</v>
      </c>
      <c r="J16" s="11"/>
      <c r="M16" s="4"/>
      <c r="N16" s="78"/>
      <c r="O16" s="78"/>
      <c r="P16" s="78" t="str">
        <f t="shared" si="4"/>
        <v>,icd10_s_name</v>
      </c>
      <c r="Q16" s="78" t="str">
        <f t="shared" si="0"/>
        <v>TEXT</v>
      </c>
      <c r="R16" s="78" t="str">
        <f t="shared" si="1"/>
        <v/>
      </c>
      <c r="S16" s="78" t="str">
        <f t="shared" si="5"/>
        <v>NOT NULL</v>
      </c>
      <c r="T16" s="78" t="str">
        <f t="shared" si="6"/>
        <v>-- ICD10小分類名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milscm_2023_010.azn_202310_backup_mt_icd10_s.icd10_s_name IS 'ICD10小分類名';</v>
      </c>
    </row>
    <row r="17" spans="1:52" s="25" customFormat="1">
      <c r="A17" s="4"/>
      <c r="B17" s="21">
        <f t="shared" si="2"/>
        <v>5</v>
      </c>
      <c r="C17" s="6" t="s">
        <v>2698</v>
      </c>
      <c r="D17" s="6" t="s">
        <v>3413</v>
      </c>
      <c r="E17" s="8"/>
      <c r="F17" s="7" t="s">
        <v>318</v>
      </c>
      <c r="G17" s="7" t="str">
        <f t="shared" si="3"/>
        <v>text</v>
      </c>
      <c r="H17" s="26"/>
      <c r="I17" s="10" t="s">
        <v>127</v>
      </c>
      <c r="J17" s="11"/>
      <c r="M17" s="4"/>
      <c r="N17" s="78"/>
      <c r="O17" s="78"/>
      <c r="P17" s="78" t="str">
        <f t="shared" si="4"/>
        <v>,icd10_l_code</v>
      </c>
      <c r="Q17" s="78" t="str">
        <f t="shared" si="0"/>
        <v>TEXT</v>
      </c>
      <c r="R17" s="78" t="str">
        <f t="shared" si="1"/>
        <v/>
      </c>
      <c r="S17" s="78" t="str">
        <f t="shared" si="5"/>
        <v>NOT NULL</v>
      </c>
      <c r="T17" s="78" t="str">
        <f t="shared" si="6"/>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milscm_2023_010.azn_202310_backup_mt_icd10_s.icd10_l_code IS 'ICD10大分類コード';</v>
      </c>
    </row>
    <row r="18" spans="1:52" s="25" customFormat="1">
      <c r="A18" s="4"/>
      <c r="B18" s="21">
        <f t="shared" si="2"/>
        <v>6</v>
      </c>
      <c r="C18" s="6" t="s">
        <v>2700</v>
      </c>
      <c r="D18" s="6" t="s">
        <v>3414</v>
      </c>
      <c r="E18" s="8"/>
      <c r="F18" s="7" t="s">
        <v>318</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milscm_2023_010.azn_202310_backup_mt_icd10_s.icd10_m_code IS 'ICD10中分類コード';</v>
      </c>
    </row>
    <row r="19" spans="1:52" s="25" customFormat="1">
      <c r="A19" s="4"/>
      <c r="B19" s="21">
        <f t="shared" si="2"/>
        <v>7</v>
      </c>
      <c r="C19" s="6" t="s">
        <v>3352</v>
      </c>
      <c r="D19" s="6" t="s">
        <v>3353</v>
      </c>
      <c r="E19" s="8"/>
      <c r="F19" s="7" t="s">
        <v>318</v>
      </c>
      <c r="G19" s="7" t="str">
        <f t="shared" ref="G19" si="7">IF(F19="フラグ","boolean",IF(F19="文字列","text",IF(F19="整数","integer",IF(F19="実数","numeric",""))))</f>
        <v>text</v>
      </c>
      <c r="H19" s="26"/>
      <c r="I19" s="10"/>
      <c r="J19" s="11" t="s">
        <v>3361</v>
      </c>
      <c r="M19" s="4"/>
      <c r="N19" s="78"/>
      <c r="O19" s="78"/>
      <c r="P19" s="78" t="str">
        <f t="shared" ref="P19" si="8">IF(B19&lt;&gt;1,","&amp;D19,D19)</f>
        <v>,ikosaki</v>
      </c>
      <c r="Q19" s="78" t="str">
        <f t="shared" ref="Q19" si="9">UPPER(G19)</f>
        <v>TEXT</v>
      </c>
      <c r="R19" s="78" t="str">
        <f t="shared" ref="R19" si="10">IF(H19&lt;&gt;"","default "&amp;IF(G19="text","'"&amp;H19&amp;"'",H19),"")</f>
        <v/>
      </c>
      <c r="S19" s="78" t="str">
        <f t="shared" ref="S19" si="11">IF(I19="○","NOT NULL","")</f>
        <v/>
      </c>
      <c r="T19" s="78" t="str">
        <f t="shared" ref="T19" si="12">"-- "&amp;C19</f>
        <v>-- 移行先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milscm_2023_010.azn_202310_backup_mt_icd10_s.ikosaki IS '移行先';</v>
      </c>
    </row>
    <row r="20" spans="1:52" s="25" customFormat="1">
      <c r="A20" s="4"/>
      <c r="B20" s="21">
        <f t="shared" si="2"/>
        <v>8</v>
      </c>
      <c r="C20" s="6" t="s">
        <v>3354</v>
      </c>
      <c r="D20" s="6" t="s">
        <v>3355</v>
      </c>
      <c r="E20" s="8"/>
      <c r="F20" s="7" t="s">
        <v>318</v>
      </c>
      <c r="G20" s="7" t="str">
        <f t="shared" si="3"/>
        <v>text</v>
      </c>
      <c r="H20" s="26"/>
      <c r="I20" s="10" t="s">
        <v>127</v>
      </c>
      <c r="J20" s="11" t="s">
        <v>3362</v>
      </c>
      <c r="M20" s="4"/>
      <c r="N20" s="78"/>
      <c r="O20" s="78"/>
      <c r="P20" s="78" t="str">
        <f t="shared" si="4"/>
        <v>,nen</v>
      </c>
      <c r="Q20" s="78" t="str">
        <f t="shared" si="0"/>
        <v>TEXT</v>
      </c>
      <c r="R20" s="78" t="str">
        <f t="shared" si="1"/>
        <v/>
      </c>
      <c r="S20" s="78" t="str">
        <f t="shared" si="5"/>
        <v>NOT NULL</v>
      </c>
      <c r="T20" s="78" t="str">
        <f t="shared" si="6"/>
        <v>-- 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milscm_2023_010.azn_202310_backup_mt_icd10_s.nen IS '年';</v>
      </c>
    </row>
    <row r="21" spans="1:52" s="25" customFormat="1">
      <c r="A21" s="4"/>
      <c r="B21" s="21">
        <f t="shared" si="2"/>
        <v>9</v>
      </c>
      <c r="C21" s="6" t="s">
        <v>3356</v>
      </c>
      <c r="D21" s="6" t="s">
        <v>3357</v>
      </c>
      <c r="E21" s="8"/>
      <c r="F21" s="7" t="s">
        <v>318</v>
      </c>
      <c r="G21" s="7" t="str">
        <f t="shared" si="3"/>
        <v>text</v>
      </c>
      <c r="H21" s="26"/>
      <c r="I21" s="10" t="s">
        <v>127</v>
      </c>
      <c r="J21" s="11" t="s">
        <v>3363</v>
      </c>
      <c r="M21" s="4"/>
      <c r="N21" s="78"/>
      <c r="O21" s="78"/>
      <c r="P21" s="78" t="str">
        <f t="shared" si="4"/>
        <v>,nengetsu</v>
      </c>
      <c r="Q21" s="78" t="str">
        <f t="shared" si="0"/>
        <v>TEXT</v>
      </c>
      <c r="R21" s="78" t="str">
        <f t="shared" si="1"/>
        <v/>
      </c>
      <c r="S21" s="78" t="str">
        <f t="shared" si="5"/>
        <v>NOT NULL</v>
      </c>
      <c r="T21" s="78" t="str">
        <f t="shared" si="6"/>
        <v>-- 年月</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milscm_2023_010.azn_202310_backup_mt_icd10_s.nengetsu IS '年月';</v>
      </c>
    </row>
    <row r="22" spans="1:52" s="25" customFormat="1" ht="19.5" thickBot="1">
      <c r="A22" s="4"/>
      <c r="B22" s="27">
        <f>ROW()-12</f>
        <v>10</v>
      </c>
      <c r="C22" s="57" t="s">
        <v>3358</v>
      </c>
      <c r="D22" s="57" t="s">
        <v>1926</v>
      </c>
      <c r="E22" s="56"/>
      <c r="F22" s="56" t="s">
        <v>318</v>
      </c>
      <c r="G22" s="56" t="str">
        <f t="shared" si="3"/>
        <v>text</v>
      </c>
      <c r="H22" s="59"/>
      <c r="I22" s="60" t="s">
        <v>127</v>
      </c>
      <c r="J22" s="64" t="s">
        <v>2444</v>
      </c>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milscm_2023_010.azn_202310_backup_mt_icd10_s.update_ymd IS 'データ登録日';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200-000000000000}"/>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ENT_01_A3-33</v>
      </c>
      <c r="E6" s="239"/>
      <c r="F6" s="239"/>
      <c r="G6" s="239"/>
      <c r="H6" s="239"/>
      <c r="I6" s="239"/>
      <c r="J6" s="240"/>
    </row>
    <row r="7" spans="1:45">
      <c r="B7" s="228" t="s">
        <v>115</v>
      </c>
      <c r="C7" s="229"/>
      <c r="D7" s="230" t="s">
        <v>3301</v>
      </c>
      <c r="E7" s="231"/>
      <c r="F7" s="231"/>
      <c r="G7" s="231"/>
      <c r="H7" s="231"/>
      <c r="I7" s="231"/>
      <c r="J7" s="232"/>
    </row>
    <row r="8" spans="1:45">
      <c r="B8" s="228" t="s">
        <v>116</v>
      </c>
      <c r="C8" s="229"/>
      <c r="D8" s="230" t="str">
        <f>エンティティ一覧!AE2&amp;"_"&amp;D5&amp;"_mt_icd10_ss"</f>
        <v>azn_202310_backup_mt_icd10_ss</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ICD10細分類マスタテーブルから組入れ条件の第一条件で絞り込んだ結果を格納するテーブル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milscm_2023_010.azn_202310_backup_mt_icd10_ss;</v>
      </c>
      <c r="O10" s="78"/>
      <c r="P10" s="78"/>
      <c r="Q10" s="78"/>
      <c r="R10" s="78"/>
      <c r="S10" s="78"/>
      <c r="T10" s="78"/>
      <c r="AJ10" s="78" t="str">
        <f>"ALTER TABLE ONLY "&amp;エンティティ一覧!$O$2&amp;"."&amp;D$8</f>
        <v>ALTER TABLE ONLY milscm_2023_010.azn_202310_backup_mt_icd10_ss</v>
      </c>
      <c r="AS10" s="78" t="str">
        <f>"ALTER TABLE "&amp;エンティティ一覧!$O$2&amp;"."&amp;D$8&amp;" OWNER TO pgmisgrp1;"</f>
        <v>ALTER TABLE milscm_2023_010.azn_202310_backup_mt_icd10_ss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milscm_2023_010.azn_202310_backup_mt_icd10_ss</v>
      </c>
      <c r="O11" s="78"/>
      <c r="P11" s="78"/>
      <c r="Q11" s="78"/>
      <c r="R11" s="78"/>
      <c r="S11" s="78"/>
      <c r="T11" s="78"/>
      <c r="AJ11" s="78" t="str">
        <f>"ADD CONSTRAINT "&amp;D$8&amp;"_pkey PRIMARY KEY"</f>
        <v>ADD CONSTRAINT azn_202310_backup_mt_icd10_ss_pkey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milscm_2023_010.azn_202310_backup_mt_icd10_ss IS 'バックアップ_ICD10細分類マスタ';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3" si="0">UPPER(G13)</f>
        <v>TEXT</v>
      </c>
      <c r="R13" s="78" t="str">
        <f t="shared" ref="R13:R23"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milscm_2023_010.azn_202310_backup_mt_icd10_ss.sekoubi IS '施行日';</v>
      </c>
    </row>
    <row r="14" spans="1:45" s="25" customFormat="1">
      <c r="A14" s="4"/>
      <c r="B14" s="21">
        <f t="shared" ref="B14:B22" si="2">ROW()-12</f>
        <v>2</v>
      </c>
      <c r="C14" s="6" t="s">
        <v>3335</v>
      </c>
      <c r="D14" s="6" t="s">
        <v>2092</v>
      </c>
      <c r="E14" s="8" t="s">
        <v>127</v>
      </c>
      <c r="F14" s="7" t="s">
        <v>318</v>
      </c>
      <c r="G14" s="7" t="str">
        <f t="shared" ref="G14:G23" si="3">IF(F14="フラグ","boolean",IF(F14="文字列","text",IF(F14="整数","integer",IF(F14="実数","numeric",""))))</f>
        <v>text</v>
      </c>
      <c r="H14" s="26"/>
      <c r="I14" s="10" t="s">
        <v>127</v>
      </c>
      <c r="J14" s="11" t="s">
        <v>3360</v>
      </c>
      <c r="M14" s="4"/>
      <c r="N14" s="78"/>
      <c r="O14" s="78"/>
      <c r="P14" s="78" t="str">
        <f t="shared" ref="P14:P23" si="4">IF(B14&lt;&gt;1,","&amp;D14,D14)</f>
        <v>,koshin_kubun</v>
      </c>
      <c r="Q14" s="78" t="str">
        <f t="shared" si="0"/>
        <v>TEXT</v>
      </c>
      <c r="R14" s="78" t="str">
        <f t="shared" si="1"/>
        <v/>
      </c>
      <c r="S14" s="78" t="str">
        <f t="shared" ref="S14:S23" si="5">IF(I14="○","NOT NULL","")</f>
        <v>NOT NULL</v>
      </c>
      <c r="T14" s="78" t="str">
        <f t="shared" ref="T14:T23"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milscm_2023_010.azn_202310_backup_mt_icd10_ss.koshin_kubun IS '更新区分';</v>
      </c>
    </row>
    <row r="15" spans="1:45" s="25" customFormat="1">
      <c r="A15" s="4"/>
      <c r="B15" s="21">
        <f t="shared" si="2"/>
        <v>3</v>
      </c>
      <c r="C15" s="6" t="s">
        <v>2703</v>
      </c>
      <c r="D15" s="6" t="s">
        <v>3416</v>
      </c>
      <c r="E15" s="8" t="s">
        <v>127</v>
      </c>
      <c r="F15" s="7" t="s">
        <v>318</v>
      </c>
      <c r="G15" s="7" t="str">
        <f t="shared" si="3"/>
        <v>text</v>
      </c>
      <c r="H15" s="26"/>
      <c r="I15" s="10" t="s">
        <v>127</v>
      </c>
      <c r="J15" s="11"/>
      <c r="M15" s="4"/>
      <c r="N15" s="78"/>
      <c r="O15" s="78"/>
      <c r="P15" s="78" t="str">
        <f t="shared" si="4"/>
        <v>,icd10_ss_code</v>
      </c>
      <c r="Q15" s="78" t="str">
        <f t="shared" si="0"/>
        <v>TEXT</v>
      </c>
      <c r="R15" s="78" t="str">
        <f t="shared" si="1"/>
        <v/>
      </c>
      <c r="S15" s="78" t="str">
        <f t="shared" si="5"/>
        <v>NOT NULL</v>
      </c>
      <c r="T15" s="78" t="str">
        <f t="shared" si="6"/>
        <v>-- ICD10細分類コード</v>
      </c>
      <c r="U15" s="4"/>
      <c r="AA15" s="4"/>
      <c r="AB15" s="4"/>
      <c r="AC15" s="4"/>
      <c r="AD15" s="4"/>
      <c r="AE15" s="4"/>
      <c r="AF15" s="4"/>
      <c r="AG15" s="4"/>
      <c r="AH15" s="4"/>
      <c r="AI15" s="4"/>
      <c r="AJ15" s="78" t="str">
        <f>IF(E15="○",IF(COUNTA(E$13:E15)=1,"",",")&amp;D15,"")</f>
        <v>,icd10_ss_code</v>
      </c>
      <c r="AK15" s="4"/>
      <c r="AL15" s="4"/>
      <c r="AM15" s="4"/>
      <c r="AN15" s="4"/>
      <c r="AO15" s="4"/>
      <c r="AP15" s="4"/>
      <c r="AQ15" s="4"/>
      <c r="AR15" s="4"/>
      <c r="AS15" s="78" t="str">
        <f>"COMMENT ON COLUMN "&amp;エンティティ一覧!$O$2&amp;"."&amp;D$8&amp;"."&amp;D15&amp;" IS '"&amp;C15&amp;"';"</f>
        <v>COMMENT ON COLUMN milscm_2023_010.azn_202310_backup_mt_icd10_ss.icd10_ss_code IS 'ICD10細分類コード';</v>
      </c>
    </row>
    <row r="16" spans="1:45" s="25" customFormat="1">
      <c r="A16" s="4"/>
      <c r="B16" s="21">
        <f t="shared" si="2"/>
        <v>4</v>
      </c>
      <c r="C16" s="6" t="s">
        <v>2710</v>
      </c>
      <c r="D16" s="6" t="s">
        <v>2711</v>
      </c>
      <c r="E16" s="8"/>
      <c r="F16" s="7" t="s">
        <v>318</v>
      </c>
      <c r="G16" s="7" t="str">
        <f t="shared" si="3"/>
        <v>text</v>
      </c>
      <c r="H16" s="26"/>
      <c r="I16" s="10" t="s">
        <v>127</v>
      </c>
      <c r="J16" s="11"/>
      <c r="M16" s="4"/>
      <c r="N16" s="78"/>
      <c r="O16" s="78"/>
      <c r="P16" s="78" t="str">
        <f t="shared" si="4"/>
        <v>,icd10_ss_name</v>
      </c>
      <c r="Q16" s="78" t="str">
        <f t="shared" si="0"/>
        <v>TEXT</v>
      </c>
      <c r="R16" s="78" t="str">
        <f t="shared" si="1"/>
        <v/>
      </c>
      <c r="S16" s="78" t="str">
        <f t="shared" si="5"/>
        <v>NOT NULL</v>
      </c>
      <c r="T16" s="78" t="str">
        <f t="shared" si="6"/>
        <v>-- ICD10細分類名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milscm_2023_010.azn_202310_backup_mt_icd10_ss.icd10_ss_name IS 'ICD10細分類名';</v>
      </c>
    </row>
    <row r="17" spans="1:52" s="25" customFormat="1">
      <c r="A17" s="4"/>
      <c r="B17" s="21">
        <f t="shared" si="2"/>
        <v>5</v>
      </c>
      <c r="C17" s="6" t="s">
        <v>2698</v>
      </c>
      <c r="D17" s="6" t="s">
        <v>3413</v>
      </c>
      <c r="E17" s="8"/>
      <c r="F17" s="7" t="s">
        <v>318</v>
      </c>
      <c r="G17" s="7" t="str">
        <f t="shared" ref="G17" si="7">IF(F17="フラグ","boolean",IF(F17="文字列","text",IF(F17="整数","integer",IF(F17="実数","numeric",""))))</f>
        <v>text</v>
      </c>
      <c r="H17" s="26"/>
      <c r="I17" s="10" t="s">
        <v>127</v>
      </c>
      <c r="J17" s="11"/>
      <c r="M17" s="4"/>
      <c r="N17" s="78"/>
      <c r="O17" s="78"/>
      <c r="P17" s="78" t="str">
        <f t="shared" ref="P17" si="8">IF(B17&lt;&gt;1,","&amp;D17,D17)</f>
        <v>,icd10_l_code</v>
      </c>
      <c r="Q17" s="78" t="str">
        <f t="shared" ref="Q17" si="9">UPPER(G17)</f>
        <v>TEXT</v>
      </c>
      <c r="R17" s="78" t="str">
        <f t="shared" ref="R17" si="10">IF(H17&lt;&gt;"","default "&amp;IF(G17="text","'"&amp;H17&amp;"'",H17),"")</f>
        <v/>
      </c>
      <c r="S17" s="78" t="str">
        <f t="shared" ref="S17" si="11">IF(I17="○","NOT NULL","")</f>
        <v>NOT NULL</v>
      </c>
      <c r="T17" s="78" t="str">
        <f t="shared" ref="T17" si="12">"-- "&amp;C17</f>
        <v>-- ICD10大分類コード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milscm_2023_010.azn_202310_backup_mt_icd10_ss.icd10_l_code IS 'ICD10大分類コード';</v>
      </c>
    </row>
    <row r="18" spans="1:52" s="25" customFormat="1">
      <c r="A18" s="4"/>
      <c r="B18" s="21">
        <f t="shared" si="2"/>
        <v>6</v>
      </c>
      <c r="C18" s="6" t="s">
        <v>2700</v>
      </c>
      <c r="D18" s="6" t="s">
        <v>3414</v>
      </c>
      <c r="E18" s="8"/>
      <c r="F18" s="7" t="s">
        <v>318</v>
      </c>
      <c r="G18" s="7" t="str">
        <f t="shared" si="3"/>
        <v>text</v>
      </c>
      <c r="H18" s="26"/>
      <c r="I18" s="10" t="s">
        <v>127</v>
      </c>
      <c r="J18" s="11"/>
      <c r="M18" s="4"/>
      <c r="N18" s="78"/>
      <c r="O18" s="78"/>
      <c r="P18" s="78" t="str">
        <f t="shared" si="4"/>
        <v>,icd10_m_code</v>
      </c>
      <c r="Q18" s="78" t="str">
        <f t="shared" si="0"/>
        <v>TEXT</v>
      </c>
      <c r="R18" s="78" t="str">
        <f t="shared" si="1"/>
        <v/>
      </c>
      <c r="S18" s="78" t="str">
        <f t="shared" si="5"/>
        <v>NOT NULL</v>
      </c>
      <c r="T18" s="78" t="str">
        <f t="shared" si="6"/>
        <v>-- ICD10中分類コード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milscm_2023_010.azn_202310_backup_mt_icd10_ss.icd10_m_code IS 'ICD10中分類コード';</v>
      </c>
    </row>
    <row r="19" spans="1:52" s="25" customFormat="1">
      <c r="A19" s="4"/>
      <c r="B19" s="21">
        <f t="shared" si="2"/>
        <v>7</v>
      </c>
      <c r="C19" s="6" t="s">
        <v>2702</v>
      </c>
      <c r="D19" s="6" t="s">
        <v>3415</v>
      </c>
      <c r="E19" s="8"/>
      <c r="F19" s="7" t="s">
        <v>318</v>
      </c>
      <c r="G19" s="7" t="str">
        <f t="shared" si="3"/>
        <v>text</v>
      </c>
      <c r="H19" s="26"/>
      <c r="I19" s="10" t="s">
        <v>127</v>
      </c>
      <c r="J19" s="11"/>
      <c r="M19" s="4"/>
      <c r="N19" s="78"/>
      <c r="O19" s="78"/>
      <c r="P19" s="78" t="str">
        <f t="shared" si="4"/>
        <v>,icd10_s_code</v>
      </c>
      <c r="Q19" s="78" t="str">
        <f t="shared" si="0"/>
        <v>TEXT</v>
      </c>
      <c r="R19" s="78" t="str">
        <f t="shared" si="1"/>
        <v/>
      </c>
      <c r="S19" s="78" t="str">
        <f t="shared" si="5"/>
        <v>NOT NULL</v>
      </c>
      <c r="T19" s="78" t="str">
        <f t="shared" si="6"/>
        <v>-- ICD10小分類コード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milscm_2023_010.azn_202310_backup_mt_icd10_ss.icd10_s_code IS 'ICD10小分類コード';</v>
      </c>
    </row>
    <row r="20" spans="1:52" s="25" customFormat="1">
      <c r="A20" s="4"/>
      <c r="B20" s="21">
        <f t="shared" si="2"/>
        <v>8</v>
      </c>
      <c r="C20" s="6" t="s">
        <v>3352</v>
      </c>
      <c r="D20" s="6" t="s">
        <v>3353</v>
      </c>
      <c r="E20" s="8"/>
      <c r="F20" s="7" t="s">
        <v>318</v>
      </c>
      <c r="G20" s="7" t="str">
        <f t="shared" si="3"/>
        <v>text</v>
      </c>
      <c r="H20" s="26"/>
      <c r="I20" s="10"/>
      <c r="J20" s="11" t="s">
        <v>3361</v>
      </c>
      <c r="M20" s="4"/>
      <c r="N20" s="78"/>
      <c r="O20" s="78"/>
      <c r="P20" s="78" t="str">
        <f t="shared" si="4"/>
        <v>,ikosaki</v>
      </c>
      <c r="Q20" s="78" t="str">
        <f t="shared" si="0"/>
        <v>TEXT</v>
      </c>
      <c r="R20" s="78" t="str">
        <f t="shared" si="1"/>
        <v/>
      </c>
      <c r="S20" s="78" t="str">
        <f t="shared" si="5"/>
        <v/>
      </c>
      <c r="T20" s="78" t="str">
        <f t="shared" si="6"/>
        <v>-- 移行先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milscm_2023_010.azn_202310_backup_mt_icd10_ss.ikosaki IS '移行先';</v>
      </c>
    </row>
    <row r="21" spans="1:52" s="25" customFormat="1">
      <c r="A21" s="4"/>
      <c r="B21" s="21">
        <f t="shared" si="2"/>
        <v>9</v>
      </c>
      <c r="C21" s="6" t="s">
        <v>3354</v>
      </c>
      <c r="D21" s="6" t="s">
        <v>3355</v>
      </c>
      <c r="E21" s="8"/>
      <c r="F21" s="7" t="s">
        <v>318</v>
      </c>
      <c r="G21" s="7" t="str">
        <f t="shared" si="3"/>
        <v>text</v>
      </c>
      <c r="H21" s="26"/>
      <c r="I21" s="10" t="s">
        <v>127</v>
      </c>
      <c r="J21" s="11" t="s">
        <v>3362</v>
      </c>
      <c r="M21" s="4"/>
      <c r="N21" s="78"/>
      <c r="O21" s="78"/>
      <c r="P21" s="78" t="str">
        <f t="shared" si="4"/>
        <v>,nen</v>
      </c>
      <c r="Q21" s="78" t="str">
        <f t="shared" si="0"/>
        <v>TEXT</v>
      </c>
      <c r="R21" s="78" t="str">
        <f t="shared" si="1"/>
        <v/>
      </c>
      <c r="S21" s="78" t="str">
        <f t="shared" si="5"/>
        <v>NOT NULL</v>
      </c>
      <c r="T21" s="78" t="str">
        <f t="shared" si="6"/>
        <v>-- 年</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milscm_2023_010.azn_202310_backup_mt_icd10_ss.nen IS '年';</v>
      </c>
    </row>
    <row r="22" spans="1:52" s="25" customFormat="1">
      <c r="A22" s="4"/>
      <c r="B22" s="21">
        <f t="shared" si="2"/>
        <v>10</v>
      </c>
      <c r="C22" s="6" t="s">
        <v>3356</v>
      </c>
      <c r="D22" s="6" t="s">
        <v>3357</v>
      </c>
      <c r="E22" s="8"/>
      <c r="F22" s="7" t="s">
        <v>318</v>
      </c>
      <c r="G22" s="7" t="str">
        <f t="shared" si="3"/>
        <v>text</v>
      </c>
      <c r="H22" s="26"/>
      <c r="I22" s="10" t="s">
        <v>127</v>
      </c>
      <c r="J22" s="11" t="s">
        <v>3363</v>
      </c>
      <c r="M22" s="4"/>
      <c r="N22" s="78"/>
      <c r="O22" s="78"/>
      <c r="P22" s="78" t="str">
        <f t="shared" si="4"/>
        <v>,nengetsu</v>
      </c>
      <c r="Q22" s="78" t="str">
        <f t="shared" si="0"/>
        <v>TEXT</v>
      </c>
      <c r="R22" s="78" t="str">
        <f t="shared" si="1"/>
        <v/>
      </c>
      <c r="S22" s="78" t="str">
        <f t="shared" si="5"/>
        <v>NOT NULL</v>
      </c>
      <c r="T22" s="78" t="str">
        <f t="shared" si="6"/>
        <v>-- 年月</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milscm_2023_010.azn_202310_backup_mt_icd10_ss.nengetsu IS '年月';</v>
      </c>
    </row>
    <row r="23" spans="1:52" s="25" customFormat="1" ht="19.5" thickBot="1">
      <c r="A23" s="4"/>
      <c r="B23" s="27">
        <f>ROW()-12</f>
        <v>11</v>
      </c>
      <c r="C23" s="57" t="s">
        <v>3358</v>
      </c>
      <c r="D23" s="57" t="s">
        <v>1926</v>
      </c>
      <c r="E23" s="56"/>
      <c r="F23" s="56" t="s">
        <v>318</v>
      </c>
      <c r="G23" s="56" t="str">
        <f t="shared" si="3"/>
        <v>text</v>
      </c>
      <c r="H23" s="59"/>
      <c r="I23" s="60" t="s">
        <v>127</v>
      </c>
      <c r="J23" s="64" t="s">
        <v>2444</v>
      </c>
      <c r="N23" s="78"/>
      <c r="O23" s="78"/>
      <c r="P23" s="78" t="str">
        <f t="shared" si="4"/>
        <v>,update_ymd</v>
      </c>
      <c r="Q23" s="78" t="str">
        <f t="shared" si="0"/>
        <v>TEXT</v>
      </c>
      <c r="R23" s="78" t="str">
        <f t="shared" si="1"/>
        <v/>
      </c>
      <c r="S23" s="78" t="str">
        <f t="shared" si="5"/>
        <v>NOT NULL</v>
      </c>
      <c r="T23" s="78" t="str">
        <f t="shared" si="6"/>
        <v>-- データ登録日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milscm_2023_010.azn_202310_backup_mt_icd10_ss.update_ymd IS 'データ登録日';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300-000000000000}"/>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ENT_01_A3-34</v>
      </c>
      <c r="E6" s="239"/>
      <c r="F6" s="239"/>
      <c r="G6" s="239"/>
      <c r="H6" s="239"/>
      <c r="I6" s="239"/>
      <c r="J6" s="240"/>
    </row>
    <row r="7" spans="1:45">
      <c r="B7" s="228" t="s">
        <v>115</v>
      </c>
      <c r="C7" s="229"/>
      <c r="D7" s="230" t="s">
        <v>3302</v>
      </c>
      <c r="E7" s="231"/>
      <c r="F7" s="231"/>
      <c r="G7" s="231"/>
      <c r="H7" s="231"/>
      <c r="I7" s="231"/>
      <c r="J7" s="232"/>
    </row>
    <row r="8" spans="1:45">
      <c r="B8" s="228" t="s">
        <v>116</v>
      </c>
      <c r="C8" s="229"/>
      <c r="D8" s="230" t="str">
        <f>エンティティ一覧!AE2&amp;"_"&amp;D5&amp;"_mt_dpc2"</f>
        <v>azn_202310_backup_mt_dpc2</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DPC2桁マスタテーブルから組入れ条件の第一条件で絞り込んだ結果を格納するテーブル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milscm_2023_010.azn_202310_backup_mt_dpc2;</v>
      </c>
      <c r="O10" s="78"/>
      <c r="P10" s="78"/>
      <c r="Q10" s="78"/>
      <c r="R10" s="78"/>
      <c r="S10" s="78"/>
      <c r="T10" s="78"/>
      <c r="AJ10" s="78" t="str">
        <f>"ALTER TABLE ONLY "&amp;エンティティ一覧!$O$2&amp;"."&amp;D$8</f>
        <v>ALTER TABLE ONLY milscm_2023_010.azn_202310_backup_mt_dpc2</v>
      </c>
      <c r="AS10" s="78" t="str">
        <f>"ALTER TABLE "&amp;エンティティ一覧!$O$2&amp;"."&amp;D$8&amp;" OWNER TO pgmisgrp1;"</f>
        <v>ALTER TABLE milscm_2023_010.azn_202310_backup_mt_dpc2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milscm_2023_010.azn_202310_backup_mt_dpc2</v>
      </c>
      <c r="O11" s="78"/>
      <c r="P11" s="78"/>
      <c r="Q11" s="78"/>
      <c r="R11" s="78"/>
      <c r="S11" s="78"/>
      <c r="T11" s="78"/>
      <c r="AJ11" s="78" t="str">
        <f>"ADD CONSTRAINT "&amp;D$8&amp;"_pkey PRIMARY KEY"</f>
        <v>ADD CONSTRAINT azn_202310_backup_mt_dpc2_pkey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milscm_2023_010.azn_202310_backup_mt_dpc2 IS 'バックアップ_DPC2桁マスタ';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0" si="0">UPPER(G13)</f>
        <v>TEXT</v>
      </c>
      <c r="R13" s="78" t="str">
        <f t="shared" ref="R13:R20"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milscm_2023_010.azn_202310_backup_mt_dpc2.sekoubi IS '施行日';</v>
      </c>
    </row>
    <row r="14" spans="1:45" s="25" customFormat="1">
      <c r="A14" s="4"/>
      <c r="B14" s="21">
        <f t="shared" ref="B14:B19" si="2">ROW()-12</f>
        <v>2</v>
      </c>
      <c r="C14" s="6" t="s">
        <v>3417</v>
      </c>
      <c r="D14" s="6" t="s">
        <v>1972</v>
      </c>
      <c r="E14" s="8"/>
      <c r="F14" s="7" t="s">
        <v>318</v>
      </c>
      <c r="G14" s="7" t="str">
        <f t="shared" ref="G14:G20" si="3">IF(F14="フラグ","boolean",IF(F14="文字列","text",IF(F14="整数","integer",IF(F14="実数","numeric",""))))</f>
        <v>text</v>
      </c>
      <c r="H14" s="26"/>
      <c r="I14" s="10" t="s">
        <v>127</v>
      </c>
      <c r="J14" s="11" t="s">
        <v>3360</v>
      </c>
      <c r="M14" s="4"/>
      <c r="N14" s="78"/>
      <c r="O14" s="78"/>
      <c r="P14" s="78" t="str">
        <f t="shared" ref="P14:P20" si="4">IF(B14&lt;&gt;1,","&amp;D14,D14)</f>
        <v>,henkou_kubun</v>
      </c>
      <c r="Q14" s="78" t="str">
        <f t="shared" si="0"/>
        <v>TEXT</v>
      </c>
      <c r="R14" s="78" t="str">
        <f t="shared" si="1"/>
        <v/>
      </c>
      <c r="S14" s="78" t="str">
        <f t="shared" ref="S14:S20" si="5">IF(I14="○","NOT NULL","")</f>
        <v>NOT NULL</v>
      </c>
      <c r="T14" s="78" t="str">
        <f t="shared" ref="T14:T20"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milscm_2023_010.azn_202310_backup_mt_dpc2.henkou_kubun IS '変更区分';</v>
      </c>
    </row>
    <row r="15" spans="1:45" s="25" customFormat="1">
      <c r="A15" s="4"/>
      <c r="B15" s="21">
        <f t="shared" si="2"/>
        <v>3</v>
      </c>
      <c r="C15" s="6" t="s">
        <v>1973</v>
      </c>
      <c r="D15" s="6" t="s">
        <v>3418</v>
      </c>
      <c r="E15" s="8" t="s">
        <v>127</v>
      </c>
      <c r="F15" s="7" t="s">
        <v>318</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milscm_2023_010.azn_202310_backup_mt_dpc2.dpc2_code IS 'DPCコード2桁';</v>
      </c>
    </row>
    <row r="16" spans="1:45" s="25" customFormat="1">
      <c r="A16" s="4"/>
      <c r="B16" s="21">
        <f t="shared" si="2"/>
        <v>4</v>
      </c>
      <c r="C16" s="6" t="s">
        <v>2687</v>
      </c>
      <c r="D16" s="6" t="s">
        <v>2688</v>
      </c>
      <c r="E16" s="8"/>
      <c r="F16" s="7" t="s">
        <v>318</v>
      </c>
      <c r="G16" s="7" t="str">
        <f t="shared" si="3"/>
        <v>text</v>
      </c>
      <c r="H16" s="26"/>
      <c r="I16" s="10" t="s">
        <v>127</v>
      </c>
      <c r="J16" s="11"/>
      <c r="M16" s="4"/>
      <c r="N16" s="78"/>
      <c r="O16" s="78"/>
      <c r="P16" s="78" t="str">
        <f t="shared" si="4"/>
        <v>,dpc2_name</v>
      </c>
      <c r="Q16" s="78" t="str">
        <f t="shared" si="0"/>
        <v>TEXT</v>
      </c>
      <c r="R16" s="78" t="str">
        <f t="shared" si="1"/>
        <v/>
      </c>
      <c r="S16" s="78" t="str">
        <f t="shared" si="5"/>
        <v>NOT NULL</v>
      </c>
      <c r="T16" s="78" t="str">
        <f t="shared" si="6"/>
        <v>-- DPC2桁名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milscm_2023_010.azn_202310_backup_mt_dpc2.dpc2_name IS 'DPC2桁名';</v>
      </c>
    </row>
    <row r="17" spans="1:52" s="25" customFormat="1">
      <c r="A17" s="4"/>
      <c r="B17" s="21">
        <f t="shared" si="2"/>
        <v>5</v>
      </c>
      <c r="C17" s="6" t="s">
        <v>3352</v>
      </c>
      <c r="D17" s="6" t="s">
        <v>3353</v>
      </c>
      <c r="E17" s="8"/>
      <c r="F17" s="7" t="s">
        <v>318</v>
      </c>
      <c r="G17" s="7" t="str">
        <f t="shared" si="3"/>
        <v>text</v>
      </c>
      <c r="H17" s="26"/>
      <c r="I17" s="10"/>
      <c r="J17" s="11" t="s">
        <v>3361</v>
      </c>
      <c r="M17" s="4"/>
      <c r="N17" s="78"/>
      <c r="O17" s="78"/>
      <c r="P17" s="78" t="str">
        <f t="shared" si="4"/>
        <v>,ikosaki</v>
      </c>
      <c r="Q17" s="78" t="str">
        <f t="shared" si="0"/>
        <v>TEXT</v>
      </c>
      <c r="R17" s="78" t="str">
        <f t="shared" si="1"/>
        <v/>
      </c>
      <c r="S17" s="78" t="str">
        <f t="shared" si="5"/>
        <v/>
      </c>
      <c r="T17" s="78" t="str">
        <f t="shared" si="6"/>
        <v>-- 移行先</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milscm_2023_010.azn_202310_backup_mt_dpc2.ikosaki IS '移行先';</v>
      </c>
    </row>
    <row r="18" spans="1:52" s="25" customFormat="1">
      <c r="A18" s="4"/>
      <c r="B18" s="21">
        <f t="shared" si="2"/>
        <v>6</v>
      </c>
      <c r="C18" s="6" t="s">
        <v>3354</v>
      </c>
      <c r="D18" s="6" t="s">
        <v>3355</v>
      </c>
      <c r="E18" s="8"/>
      <c r="F18" s="7" t="s">
        <v>318</v>
      </c>
      <c r="G18" s="7" t="str">
        <f t="shared" si="3"/>
        <v>text</v>
      </c>
      <c r="H18" s="26"/>
      <c r="I18" s="10" t="s">
        <v>127</v>
      </c>
      <c r="J18" s="11" t="s">
        <v>3362</v>
      </c>
      <c r="M18" s="4"/>
      <c r="N18" s="78"/>
      <c r="O18" s="78"/>
      <c r="P18" s="78" t="str">
        <f t="shared" si="4"/>
        <v>,nen</v>
      </c>
      <c r="Q18" s="78" t="str">
        <f t="shared" si="0"/>
        <v>TEXT</v>
      </c>
      <c r="R18" s="78" t="str">
        <f t="shared" si="1"/>
        <v/>
      </c>
      <c r="S18" s="78" t="str">
        <f t="shared" si="5"/>
        <v>NOT NULL</v>
      </c>
      <c r="T18" s="78" t="str">
        <f t="shared" si="6"/>
        <v>-- 年</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milscm_2023_010.azn_202310_backup_mt_dpc2.nen IS '年';</v>
      </c>
    </row>
    <row r="19" spans="1:52" s="25" customFormat="1">
      <c r="A19" s="4"/>
      <c r="B19" s="21">
        <f t="shared" si="2"/>
        <v>7</v>
      </c>
      <c r="C19" s="6" t="s">
        <v>3356</v>
      </c>
      <c r="D19" s="6" t="s">
        <v>3357</v>
      </c>
      <c r="E19" s="8"/>
      <c r="F19" s="7" t="s">
        <v>318</v>
      </c>
      <c r="G19" s="7" t="str">
        <f t="shared" si="3"/>
        <v>text</v>
      </c>
      <c r="H19" s="26"/>
      <c r="I19" s="10" t="s">
        <v>127</v>
      </c>
      <c r="J19" s="11" t="s">
        <v>3363</v>
      </c>
      <c r="M19" s="4"/>
      <c r="N19" s="78"/>
      <c r="O19" s="78"/>
      <c r="P19" s="78" t="str">
        <f t="shared" si="4"/>
        <v>,nengetsu</v>
      </c>
      <c r="Q19" s="78" t="str">
        <f t="shared" si="0"/>
        <v>TEXT</v>
      </c>
      <c r="R19" s="78" t="str">
        <f t="shared" si="1"/>
        <v/>
      </c>
      <c r="S19" s="78" t="str">
        <f t="shared" si="5"/>
        <v>NOT NULL</v>
      </c>
      <c r="T19" s="78" t="str">
        <f t="shared" si="6"/>
        <v>-- 年月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milscm_2023_010.azn_202310_backup_mt_dpc2.nengetsu IS '年月';</v>
      </c>
    </row>
    <row r="20" spans="1:52" s="25" customFormat="1" ht="19.5" thickBot="1">
      <c r="A20" s="4"/>
      <c r="B20" s="27">
        <f>ROW()-12</f>
        <v>8</v>
      </c>
      <c r="C20" s="57" t="s">
        <v>3358</v>
      </c>
      <c r="D20" s="57" t="s">
        <v>1926</v>
      </c>
      <c r="E20" s="56"/>
      <c r="F20" s="56" t="s">
        <v>318</v>
      </c>
      <c r="G20" s="56" t="str">
        <f t="shared" si="3"/>
        <v>text</v>
      </c>
      <c r="H20" s="59"/>
      <c r="I20" s="60" t="s">
        <v>127</v>
      </c>
      <c r="J20" s="64" t="s">
        <v>2444</v>
      </c>
      <c r="N20" s="78"/>
      <c r="O20" s="78"/>
      <c r="P20" s="78" t="str">
        <f t="shared" si="4"/>
        <v>,update_ymd</v>
      </c>
      <c r="Q20" s="78" t="str">
        <f t="shared" si="0"/>
        <v>TEXT</v>
      </c>
      <c r="R20" s="78" t="str">
        <f t="shared" si="1"/>
        <v/>
      </c>
      <c r="S20" s="78" t="str">
        <f t="shared" si="5"/>
        <v>NOT NULL</v>
      </c>
      <c r="T20" s="78" t="str">
        <f t="shared" si="6"/>
        <v>-- データ登録日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milscm_2023_010.azn_202310_backup_mt_dpc2.update_ymd IS 'データ登録日';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400-000000000000}"/>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ENT_01_A3-35</v>
      </c>
      <c r="E6" s="239"/>
      <c r="F6" s="239"/>
      <c r="G6" s="239"/>
      <c r="H6" s="239"/>
      <c r="I6" s="239"/>
      <c r="J6" s="240"/>
    </row>
    <row r="7" spans="1:45">
      <c r="B7" s="228" t="s">
        <v>115</v>
      </c>
      <c r="C7" s="229"/>
      <c r="D7" s="230" t="s">
        <v>3419</v>
      </c>
      <c r="E7" s="231"/>
      <c r="F7" s="231"/>
      <c r="G7" s="231"/>
      <c r="H7" s="231"/>
      <c r="I7" s="231"/>
      <c r="J7" s="232"/>
    </row>
    <row r="8" spans="1:45">
      <c r="B8" s="228" t="s">
        <v>116</v>
      </c>
      <c r="C8" s="229"/>
      <c r="D8" s="230" t="str">
        <f>エンティティ一覧!AE2&amp;"_"&amp;D5&amp;"_mt_dpc6"</f>
        <v>azn_202310_backup_mt_dpc6</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DPC6桁マスタテーブルから組入れ条件の第一条件で絞り込んだ結果を格納するテーブル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milscm_2023_010.azn_202310_backup_mt_dpc6;</v>
      </c>
      <c r="O10" s="78"/>
      <c r="P10" s="78"/>
      <c r="Q10" s="78"/>
      <c r="R10" s="78"/>
      <c r="S10" s="78"/>
      <c r="T10" s="78"/>
      <c r="AJ10" s="78" t="str">
        <f>"ALTER TABLE ONLY "&amp;エンティティ一覧!$O$2&amp;"."&amp;D$8</f>
        <v>ALTER TABLE ONLY milscm_2023_010.azn_202310_backup_mt_dpc6</v>
      </c>
      <c r="AS10" s="78" t="str">
        <f>"ALTER TABLE "&amp;エンティティ一覧!$O$2&amp;"."&amp;D$8&amp;" OWNER TO pgmisgrp1;"</f>
        <v>ALTER TABLE milscm_2023_010.azn_202310_backup_mt_dpc6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milscm_2023_010.azn_202310_backup_mt_dpc6</v>
      </c>
      <c r="O11" s="78"/>
      <c r="P11" s="78"/>
      <c r="Q11" s="78"/>
      <c r="R11" s="78"/>
      <c r="S11" s="78"/>
      <c r="T11" s="78"/>
      <c r="AJ11" s="78" t="str">
        <f>"ADD CONSTRAINT "&amp;D$8&amp;"_pkey PRIMARY KEY"</f>
        <v>ADD CONSTRAINT azn_202310_backup_mt_dpc6_pkey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milscm_2023_010.azn_202310_backup_mt_dpc6 IS 'バックアップ_DPC6桁マスタ';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milscm_2023_010.azn_202310_backup_mt_dpc6.sekoubi IS '施行日';</v>
      </c>
    </row>
    <row r="14" spans="1:45" s="25" customFormat="1">
      <c r="A14" s="4"/>
      <c r="B14" s="21">
        <f t="shared" ref="B14:B20" si="2">ROW()-12</f>
        <v>2</v>
      </c>
      <c r="C14" s="6" t="s">
        <v>3417</v>
      </c>
      <c r="D14" s="6" t="s">
        <v>1972</v>
      </c>
      <c r="E14" s="8"/>
      <c r="F14" s="7" t="s">
        <v>318</v>
      </c>
      <c r="G14" s="7" t="str">
        <f t="shared" ref="G14:G21" si="3">IF(F14="フラグ","boolean",IF(F14="文字列","text",IF(F14="整数","integer",IF(F14="実数","numeric",""))))</f>
        <v>text</v>
      </c>
      <c r="H14" s="26"/>
      <c r="I14" s="10" t="s">
        <v>127</v>
      </c>
      <c r="J14" s="11" t="s">
        <v>3360</v>
      </c>
      <c r="M14" s="4"/>
      <c r="N14" s="78"/>
      <c r="O14" s="78"/>
      <c r="P14" s="78" t="str">
        <f t="shared" ref="P14:P21" si="4">IF(B14&lt;&gt;1,","&amp;D14,D14)</f>
        <v>,henkou_kubun</v>
      </c>
      <c r="Q14" s="78" t="str">
        <f t="shared" si="0"/>
        <v>TEXT</v>
      </c>
      <c r="R14" s="78" t="str">
        <f t="shared" si="1"/>
        <v/>
      </c>
      <c r="S14" s="78" t="str">
        <f t="shared" ref="S14:S21" si="5">IF(I14="○","NOT NULL","")</f>
        <v>NOT NULL</v>
      </c>
      <c r="T14" s="78" t="str">
        <f t="shared" ref="T14:T21" si="6">"-- "&amp;C14</f>
        <v>-- 変更区分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milscm_2023_010.azn_202310_backup_mt_dpc6.henkou_kubun IS '変更区分';</v>
      </c>
    </row>
    <row r="15" spans="1:45" s="25" customFormat="1">
      <c r="A15" s="4"/>
      <c r="B15" s="21">
        <f t="shared" si="2"/>
        <v>3</v>
      </c>
      <c r="C15" s="6" t="s">
        <v>1973</v>
      </c>
      <c r="D15" s="6" t="s">
        <v>3418</v>
      </c>
      <c r="E15" s="8" t="s">
        <v>127</v>
      </c>
      <c r="F15" s="7" t="s">
        <v>318</v>
      </c>
      <c r="G15" s="7" t="str">
        <f t="shared" si="3"/>
        <v>text</v>
      </c>
      <c r="H15" s="26"/>
      <c r="I15" s="10" t="s">
        <v>127</v>
      </c>
      <c r="J15" s="11"/>
      <c r="M15" s="4"/>
      <c r="N15" s="78"/>
      <c r="O15" s="78"/>
      <c r="P15" s="78" t="str">
        <f t="shared" si="4"/>
        <v>,dpc2_code</v>
      </c>
      <c r="Q15" s="78" t="str">
        <f t="shared" si="0"/>
        <v>TEXT</v>
      </c>
      <c r="R15" s="78" t="str">
        <f t="shared" si="1"/>
        <v/>
      </c>
      <c r="S15" s="78" t="str">
        <f t="shared" si="5"/>
        <v>NOT NULL</v>
      </c>
      <c r="T15" s="78" t="str">
        <f t="shared" si="6"/>
        <v>-- DPCコード2桁</v>
      </c>
      <c r="U15" s="4"/>
      <c r="AA15" s="4"/>
      <c r="AB15" s="4"/>
      <c r="AC15" s="4"/>
      <c r="AD15" s="4"/>
      <c r="AE15" s="4"/>
      <c r="AF15" s="4"/>
      <c r="AG15" s="4"/>
      <c r="AH15" s="4"/>
      <c r="AI15" s="4"/>
      <c r="AJ15" s="78" t="str">
        <f>IF(E15="○",IF(COUNTA(E$13:E15)=1,"",",")&amp;D15,"")</f>
        <v>,dpc2_code</v>
      </c>
      <c r="AK15" s="4"/>
      <c r="AL15" s="4"/>
      <c r="AM15" s="4"/>
      <c r="AN15" s="4"/>
      <c r="AO15" s="4"/>
      <c r="AP15" s="4"/>
      <c r="AQ15" s="4"/>
      <c r="AR15" s="4"/>
      <c r="AS15" s="78" t="str">
        <f>"COMMENT ON COLUMN "&amp;エンティティ一覧!$O$2&amp;"."&amp;D$8&amp;"."&amp;D15&amp;" IS '"&amp;C15&amp;"';"</f>
        <v>COMMENT ON COLUMN milscm_2023_010.azn_202310_backup_mt_dpc6.dpc2_code IS 'DPCコード2桁';</v>
      </c>
    </row>
    <row r="16" spans="1:45" s="25" customFormat="1">
      <c r="A16" s="4"/>
      <c r="B16" s="21">
        <f t="shared" si="2"/>
        <v>4</v>
      </c>
      <c r="C16" s="6" t="s">
        <v>3420</v>
      </c>
      <c r="D16" s="6" t="s">
        <v>3421</v>
      </c>
      <c r="E16" s="8" t="s">
        <v>127</v>
      </c>
      <c r="F16" s="7" t="s">
        <v>318</v>
      </c>
      <c r="G16" s="7" t="str">
        <f t="shared" si="3"/>
        <v>text</v>
      </c>
      <c r="H16" s="26"/>
      <c r="I16" s="10" t="s">
        <v>127</v>
      </c>
      <c r="J16" s="11"/>
      <c r="M16" s="4"/>
      <c r="N16" s="78"/>
      <c r="O16" s="78"/>
      <c r="P16" s="78" t="str">
        <f t="shared" si="4"/>
        <v>,dpc4_code</v>
      </c>
      <c r="Q16" s="78" t="str">
        <f t="shared" si="0"/>
        <v>TEXT</v>
      </c>
      <c r="R16" s="78" t="str">
        <f t="shared" si="1"/>
        <v/>
      </c>
      <c r="S16" s="78" t="str">
        <f t="shared" si="5"/>
        <v>NOT NULL</v>
      </c>
      <c r="T16" s="78" t="str">
        <f t="shared" si="6"/>
        <v>-- DPCコード4桁</v>
      </c>
      <c r="U16" s="4"/>
      <c r="AA16" s="4"/>
      <c r="AB16" s="4"/>
      <c r="AC16" s="4"/>
      <c r="AD16" s="4"/>
      <c r="AE16" s="4"/>
      <c r="AF16" s="4"/>
      <c r="AG16" s="4"/>
      <c r="AH16" s="4"/>
      <c r="AI16" s="4"/>
      <c r="AJ16" s="78" t="str">
        <f>IF(E16="○",IF(COUNTA(E$13:E16)=1,"",",")&amp;D16,"")</f>
        <v>,dpc4_code</v>
      </c>
      <c r="AK16" s="4"/>
      <c r="AL16" s="4"/>
      <c r="AM16" s="4"/>
      <c r="AN16" s="4"/>
      <c r="AO16" s="4"/>
      <c r="AP16" s="4"/>
      <c r="AQ16" s="4"/>
      <c r="AR16" s="4"/>
      <c r="AS16" s="78" t="str">
        <f>"COMMENT ON COLUMN "&amp;エンティティ一覧!$O$2&amp;"."&amp;D$8&amp;"."&amp;D16&amp;" IS '"&amp;C16&amp;"';"</f>
        <v>COMMENT ON COLUMN milscm_2023_010.azn_202310_backup_mt_dpc6.dpc4_code IS 'DPCコード4桁';</v>
      </c>
    </row>
    <row r="17" spans="1:52" s="25" customFormat="1">
      <c r="A17" s="4"/>
      <c r="B17" s="21">
        <f t="shared" si="2"/>
        <v>5</v>
      </c>
      <c r="C17" s="6" t="s">
        <v>2689</v>
      </c>
      <c r="D17" s="6" t="s">
        <v>2690</v>
      </c>
      <c r="E17" s="8"/>
      <c r="F17" s="7" t="s">
        <v>318</v>
      </c>
      <c r="G17" s="7" t="str">
        <f t="shared" ref="G17" si="7">IF(F17="フラグ","boolean",IF(F17="文字列","text",IF(F17="整数","integer",IF(F17="実数","numeric",""))))</f>
        <v>text</v>
      </c>
      <c r="H17" s="26"/>
      <c r="I17" s="10" t="s">
        <v>127</v>
      </c>
      <c r="J17" s="11"/>
      <c r="M17" s="4"/>
      <c r="N17" s="78"/>
      <c r="O17" s="78"/>
      <c r="P17" s="78" t="str">
        <f t="shared" ref="P17" si="8">IF(B17&lt;&gt;1,","&amp;D17,D17)</f>
        <v>,dpc6_name</v>
      </c>
      <c r="Q17" s="78" t="str">
        <f t="shared" ref="Q17" si="9">UPPER(G17)</f>
        <v>TEXT</v>
      </c>
      <c r="R17" s="78" t="str">
        <f t="shared" ref="R17" si="10">IF(H17&lt;&gt;"","default "&amp;IF(G17="text","'"&amp;H17&amp;"'",H17),"")</f>
        <v/>
      </c>
      <c r="S17" s="78" t="str">
        <f t="shared" ref="S17" si="11">IF(I17="○","NOT NULL","")</f>
        <v>NOT NULL</v>
      </c>
      <c r="T17" s="78" t="str">
        <f t="shared" ref="T17" si="12">"-- "&amp;C17</f>
        <v>-- DPC6桁名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milscm_2023_010.azn_202310_backup_mt_dpc6.dpc6_name IS 'DPC6桁名';</v>
      </c>
    </row>
    <row r="18" spans="1:52" s="25" customFormat="1">
      <c r="A18" s="4"/>
      <c r="B18" s="21">
        <f t="shared" si="2"/>
        <v>6</v>
      </c>
      <c r="C18" s="6" t="s">
        <v>3352</v>
      </c>
      <c r="D18" s="6" t="s">
        <v>3353</v>
      </c>
      <c r="E18" s="8"/>
      <c r="F18" s="7" t="s">
        <v>318</v>
      </c>
      <c r="G18" s="7" t="str">
        <f t="shared" si="3"/>
        <v>text</v>
      </c>
      <c r="H18" s="26"/>
      <c r="I18" s="10"/>
      <c r="J18" s="11" t="s">
        <v>3361</v>
      </c>
      <c r="M18" s="4"/>
      <c r="N18" s="78"/>
      <c r="O18" s="78"/>
      <c r="P18" s="78" t="str">
        <f t="shared" si="4"/>
        <v>,ikosaki</v>
      </c>
      <c r="Q18" s="78" t="str">
        <f t="shared" si="0"/>
        <v>TEXT</v>
      </c>
      <c r="R18" s="78" t="str">
        <f t="shared" si="1"/>
        <v/>
      </c>
      <c r="S18" s="78" t="str">
        <f t="shared" si="5"/>
        <v/>
      </c>
      <c r="T18" s="78" t="str">
        <f t="shared" si="6"/>
        <v>-- 移行先</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milscm_2023_010.azn_202310_backup_mt_dpc6.ikosaki IS '移行先';</v>
      </c>
    </row>
    <row r="19" spans="1:52" s="25" customFormat="1">
      <c r="A19" s="4"/>
      <c r="B19" s="21">
        <f t="shared" si="2"/>
        <v>7</v>
      </c>
      <c r="C19" s="6" t="s">
        <v>3354</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milscm_2023_010.azn_202310_backup_mt_dpc6.nen IS '年';</v>
      </c>
    </row>
    <row r="20" spans="1:52" s="25" customFormat="1">
      <c r="A20" s="4"/>
      <c r="B20" s="21">
        <f t="shared" si="2"/>
        <v>8</v>
      </c>
      <c r="C20" s="6" t="s">
        <v>3356</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milscm_2023_010.azn_202310_backup_mt_dpc6.nengetsu IS '年月';</v>
      </c>
    </row>
    <row r="21" spans="1:52" s="25" customFormat="1" ht="19.5" thickBot="1">
      <c r="A21" s="4"/>
      <c r="B21" s="27">
        <f>ROW()-12</f>
        <v>9</v>
      </c>
      <c r="C21" s="57" t="s">
        <v>3358</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milscm_2023_010.azn_202310_backup_mt_dpc6.update_ymd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500-000000000000}"/>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ENT_01_A3-36</v>
      </c>
      <c r="E6" s="239"/>
      <c r="F6" s="239"/>
      <c r="G6" s="239"/>
      <c r="H6" s="239"/>
      <c r="I6" s="239"/>
      <c r="J6" s="240"/>
    </row>
    <row r="7" spans="1:45">
      <c r="B7" s="228" t="s">
        <v>115</v>
      </c>
      <c r="C7" s="229"/>
      <c r="D7" s="230" t="s">
        <v>3422</v>
      </c>
      <c r="E7" s="231"/>
      <c r="F7" s="231"/>
      <c r="G7" s="231"/>
      <c r="H7" s="231"/>
      <c r="I7" s="231"/>
      <c r="J7" s="232"/>
    </row>
    <row r="8" spans="1:45">
      <c r="B8" s="228" t="s">
        <v>116</v>
      </c>
      <c r="C8" s="229"/>
      <c r="D8" s="230" t="str">
        <f>エンティティ一覧!AE2&amp;"_"&amp;D5&amp;"_mt_postal"</f>
        <v>azn_202310_backup_mt_postal</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郵便番号マスタテーブルから組入れ条件の第一条件で絞り込んだ結果を格納するテーブル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milscm_2023_010.azn_202310_backup_mt_postal;</v>
      </c>
      <c r="O10" s="78"/>
      <c r="P10" s="78"/>
      <c r="Q10" s="78"/>
      <c r="R10" s="78"/>
      <c r="S10" s="78"/>
      <c r="T10" s="78"/>
      <c r="AJ10" s="78" t="str">
        <f>"ALTER TABLE ONLY "&amp;エンティティ一覧!$O$2&amp;"."&amp;D$8</f>
        <v>ALTER TABLE ONLY milscm_2023_010.azn_202310_backup_mt_postal</v>
      </c>
      <c r="AS10" s="78" t="str">
        <f>"ALTER TABLE "&amp;エンティティ一覧!$O$2&amp;"."&amp;D$8&amp;" OWNER TO pgmisgrp1;"</f>
        <v>ALTER TABLE milscm_2023_010.azn_202310_backup_mt_postal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milscm_2023_010.azn_202310_backup_mt_postal</v>
      </c>
      <c r="O11" s="78"/>
      <c r="P11" s="78"/>
      <c r="Q11" s="78"/>
      <c r="R11" s="78"/>
      <c r="S11" s="78"/>
      <c r="T11" s="78"/>
      <c r="AJ11" s="78" t="str">
        <f>"ADD CONSTRAINT "&amp;D$8&amp;"_pkey PRIMARY KEY"</f>
        <v>ADD CONSTRAINT azn_202310_backup_mt_postal_pkey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milscm_2023_010.azn_202310_backup_mt_postal IS 'バックアップ_郵便番号マスタ';</v>
      </c>
    </row>
    <row r="13" spans="1:45" s="25" customFormat="1">
      <c r="A13" s="4"/>
      <c r="B13" s="21">
        <f>ROW()-12</f>
        <v>1</v>
      </c>
      <c r="C13" s="6" t="s">
        <v>3333</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32" si="0">UPPER(G13)</f>
        <v>TEXT</v>
      </c>
      <c r="R13" s="78" t="str">
        <f t="shared" ref="R13:R32"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milscm_2023_010.azn_202310_backup_mt_postal.sekoubi IS '施行日';</v>
      </c>
    </row>
    <row r="14" spans="1:45" s="25" customFormat="1">
      <c r="A14" s="4"/>
      <c r="B14" s="21">
        <f t="shared" ref="B14:B31" si="2">ROW()-12</f>
        <v>2</v>
      </c>
      <c r="C14" s="6" t="s">
        <v>3335</v>
      </c>
      <c r="D14" s="6" t="s">
        <v>2092</v>
      </c>
      <c r="E14" s="8" t="s">
        <v>127</v>
      </c>
      <c r="F14" s="7" t="s">
        <v>318</v>
      </c>
      <c r="G14" s="7" t="str">
        <f t="shared" ref="G14:G32" si="3">IF(F14="フラグ","boolean",IF(F14="文字列","text",IF(F14="整数","integer",IF(F14="実数","numeric",""))))</f>
        <v>text</v>
      </c>
      <c r="H14" s="26"/>
      <c r="I14" s="10" t="s">
        <v>127</v>
      </c>
      <c r="J14" s="11" t="s">
        <v>3360</v>
      </c>
      <c r="M14" s="4"/>
      <c r="N14" s="78"/>
      <c r="O14" s="78"/>
      <c r="P14" s="78" t="str">
        <f t="shared" ref="P14:P32" si="4">IF(B14&lt;&gt;1,","&amp;D14,D14)</f>
        <v>,koshin_kubun</v>
      </c>
      <c r="Q14" s="78" t="str">
        <f t="shared" si="0"/>
        <v>TEXT</v>
      </c>
      <c r="R14" s="78" t="str">
        <f t="shared" si="1"/>
        <v/>
      </c>
      <c r="S14" s="78" t="str">
        <f t="shared" ref="S14:S32" si="5">IF(I14="○","NOT NULL","")</f>
        <v>NOT NULL</v>
      </c>
      <c r="T14" s="78" t="str">
        <f t="shared" ref="T14:T32"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milscm_2023_010.azn_202310_backup_mt_postal.koshin_kubun IS '更新区分';</v>
      </c>
    </row>
    <row r="15" spans="1:45" s="25" customFormat="1">
      <c r="A15" s="4"/>
      <c r="B15" s="21">
        <f t="shared" si="2"/>
        <v>3</v>
      </c>
      <c r="C15" s="6" t="s">
        <v>3112</v>
      </c>
      <c r="D15" s="6" t="s">
        <v>3423</v>
      </c>
      <c r="E15" s="8" t="s">
        <v>127</v>
      </c>
      <c r="F15" s="7" t="s">
        <v>318</v>
      </c>
      <c r="G15" s="7" t="str">
        <f t="shared" si="3"/>
        <v>text</v>
      </c>
      <c r="H15" s="26"/>
      <c r="I15" s="10" t="s">
        <v>127</v>
      </c>
      <c r="J15" s="11" t="s">
        <v>3441</v>
      </c>
      <c r="M15" s="4"/>
      <c r="N15" s="78"/>
      <c r="O15" s="78"/>
      <c r="P15" s="78" t="str">
        <f t="shared" si="4"/>
        <v>,postal_code</v>
      </c>
      <c r="Q15" s="78" t="str">
        <f t="shared" si="0"/>
        <v>TEXT</v>
      </c>
      <c r="R15" s="78" t="str">
        <f t="shared" si="1"/>
        <v/>
      </c>
      <c r="S15" s="78" t="str">
        <f t="shared" si="5"/>
        <v>NOT NULL</v>
      </c>
      <c r="T15" s="78" t="str">
        <f t="shared" si="6"/>
        <v>-- 郵便番号</v>
      </c>
      <c r="U15" s="4"/>
      <c r="AA15" s="4"/>
      <c r="AB15" s="4"/>
      <c r="AC15" s="4"/>
      <c r="AD15" s="4"/>
      <c r="AE15" s="4"/>
      <c r="AF15" s="4"/>
      <c r="AG15" s="4"/>
      <c r="AH15" s="4"/>
      <c r="AI15" s="4"/>
      <c r="AJ15" s="78" t="str">
        <f>IF(E15="○",IF(COUNTA(E$13:E15)=1,"",",")&amp;D15,"")</f>
        <v>,postal_code</v>
      </c>
      <c r="AK15" s="4"/>
      <c r="AL15" s="4"/>
      <c r="AM15" s="4"/>
      <c r="AN15" s="4"/>
      <c r="AO15" s="4"/>
      <c r="AP15" s="4"/>
      <c r="AQ15" s="4"/>
      <c r="AR15" s="4"/>
      <c r="AS15" s="78" t="str">
        <f>"COMMENT ON COLUMN "&amp;エンティティ一覧!$O$2&amp;"."&amp;D$8&amp;"."&amp;D15&amp;" IS '"&amp;C15&amp;"';"</f>
        <v>COMMENT ON COLUMN milscm_2023_010.azn_202310_backup_mt_postal.postal_code IS '郵便番号';</v>
      </c>
    </row>
    <row r="16" spans="1:45" s="25" customFormat="1">
      <c r="A16" s="4"/>
      <c r="B16" s="21">
        <f t="shared" si="2"/>
        <v>4</v>
      </c>
      <c r="C16" s="6" t="s">
        <v>1941</v>
      </c>
      <c r="D16" s="6" t="s">
        <v>3424</v>
      </c>
      <c r="E16" s="8" t="s">
        <v>127</v>
      </c>
      <c r="F16" s="7" t="s">
        <v>318</v>
      </c>
      <c r="G16" s="7" t="str">
        <f t="shared" si="3"/>
        <v>text</v>
      </c>
      <c r="H16" s="26"/>
      <c r="I16" s="10" t="s">
        <v>127</v>
      </c>
      <c r="J16" s="11"/>
      <c r="M16" s="4"/>
      <c r="N16" s="78"/>
      <c r="O16" s="78"/>
      <c r="P16" s="78" t="str">
        <f t="shared" si="4"/>
        <v>,prefecture_code</v>
      </c>
      <c r="Q16" s="78" t="str">
        <f t="shared" si="0"/>
        <v>TEXT</v>
      </c>
      <c r="R16" s="78" t="str">
        <f t="shared" si="1"/>
        <v/>
      </c>
      <c r="S16" s="78" t="str">
        <f t="shared" si="5"/>
        <v>NOT NULL</v>
      </c>
      <c r="T16" s="78" t="str">
        <f t="shared" si="6"/>
        <v>-- 都道府県コード</v>
      </c>
      <c r="U16" s="4"/>
      <c r="AA16" s="4"/>
      <c r="AB16" s="4"/>
      <c r="AC16" s="4"/>
      <c r="AD16" s="4"/>
      <c r="AE16" s="4"/>
      <c r="AF16" s="4"/>
      <c r="AG16" s="4"/>
      <c r="AH16" s="4"/>
      <c r="AI16" s="4"/>
      <c r="AJ16" s="78" t="str">
        <f>IF(E16="○",IF(COUNTA(E$13:E16)=1,"",",")&amp;D16,"")</f>
        <v>,prefecture_code</v>
      </c>
      <c r="AK16" s="4"/>
      <c r="AL16" s="4"/>
      <c r="AM16" s="4"/>
      <c r="AN16" s="4"/>
      <c r="AO16" s="4"/>
      <c r="AP16" s="4"/>
      <c r="AQ16" s="4"/>
      <c r="AR16" s="4"/>
      <c r="AS16" s="78" t="str">
        <f>"COMMENT ON COLUMN "&amp;エンティティ一覧!$O$2&amp;"."&amp;D$8&amp;"."&amp;D16&amp;" IS '"&amp;C16&amp;"';"</f>
        <v>COMMENT ON COLUMN milscm_2023_010.azn_202310_backup_mt_postal.prefecture_code IS '都道府県コード';</v>
      </c>
    </row>
    <row r="17" spans="1:45" s="25" customFormat="1">
      <c r="A17" s="4"/>
      <c r="B17" s="21">
        <f t="shared" si="2"/>
        <v>5</v>
      </c>
      <c r="C17" s="6" t="s">
        <v>1944</v>
      </c>
      <c r="D17" s="6" t="s">
        <v>1945</v>
      </c>
      <c r="E17" s="8" t="s">
        <v>127</v>
      </c>
      <c r="F17" s="7" t="s">
        <v>318</v>
      </c>
      <c r="G17" s="7" t="str">
        <f t="shared" si="3"/>
        <v>text</v>
      </c>
      <c r="H17" s="26"/>
      <c r="I17" s="10" t="s">
        <v>127</v>
      </c>
      <c r="J17" s="11"/>
      <c r="M17" s="4"/>
      <c r="N17" s="78"/>
      <c r="O17" s="78"/>
      <c r="P17" s="78" t="str">
        <f t="shared" si="4"/>
        <v>,city_code</v>
      </c>
      <c r="Q17" s="78" t="str">
        <f t="shared" si="0"/>
        <v>TEXT</v>
      </c>
      <c r="R17" s="78" t="str">
        <f t="shared" si="1"/>
        <v/>
      </c>
      <c r="S17" s="78" t="str">
        <f t="shared" si="5"/>
        <v>NOT NULL</v>
      </c>
      <c r="T17" s="78" t="str">
        <f t="shared" si="6"/>
        <v>-- 市区町村コード</v>
      </c>
      <c r="U17" s="4"/>
      <c r="AA17" s="4"/>
      <c r="AB17" s="4"/>
      <c r="AC17" s="4"/>
      <c r="AD17" s="4"/>
      <c r="AE17" s="4"/>
      <c r="AF17" s="4"/>
      <c r="AG17" s="4"/>
      <c r="AH17" s="4"/>
      <c r="AI17" s="4"/>
      <c r="AJ17" s="78" t="str">
        <f>IF(E17="○",IF(COUNTA(E$13:E17)=1,"",",")&amp;D17,"")</f>
        <v>,city_code</v>
      </c>
      <c r="AK17" s="4"/>
      <c r="AL17" s="4"/>
      <c r="AM17" s="4"/>
      <c r="AN17" s="4"/>
      <c r="AO17" s="4"/>
      <c r="AP17" s="4"/>
      <c r="AQ17" s="4"/>
      <c r="AR17" s="4"/>
      <c r="AS17" s="78" t="str">
        <f>"COMMENT ON COLUMN "&amp;エンティティ一覧!$O$2&amp;"."&amp;D$8&amp;"."&amp;D17&amp;" IS '"&amp;C17&amp;"';"</f>
        <v>COMMENT ON COLUMN milscm_2023_010.azn_202310_backup_mt_postal.city_code IS '市区町村コード';</v>
      </c>
    </row>
    <row r="18" spans="1:45" s="25" customFormat="1">
      <c r="A18" s="4"/>
      <c r="B18" s="21">
        <f t="shared" si="2"/>
        <v>6</v>
      </c>
      <c r="C18" s="6" t="s">
        <v>3425</v>
      </c>
      <c r="D18" s="6" t="s">
        <v>3426</v>
      </c>
      <c r="E18" s="8"/>
      <c r="F18" s="7" t="s">
        <v>318</v>
      </c>
      <c r="G18" s="7" t="str">
        <f t="shared" ref="G18:G28" si="7">IF(F18="フラグ","boolean",IF(F18="文字列","text",IF(F18="整数","integer",IF(F18="実数","numeric",""))))</f>
        <v>text</v>
      </c>
      <c r="H18" s="26"/>
      <c r="I18" s="10" t="s">
        <v>127</v>
      </c>
      <c r="J18" s="11" t="s">
        <v>3442</v>
      </c>
      <c r="M18" s="4"/>
      <c r="N18" s="78"/>
      <c r="O18" s="78"/>
      <c r="P18" s="78" t="str">
        <f t="shared" ref="P18:P28" si="8">IF(B18&lt;&gt;1,","&amp;D18,D18)</f>
        <v>,town_code</v>
      </c>
      <c r="Q18" s="78" t="str">
        <f t="shared" ref="Q18:Q28" si="9">UPPER(G18)</f>
        <v>TEXT</v>
      </c>
      <c r="R18" s="78" t="str">
        <f t="shared" ref="R18:R28" si="10">IF(H18&lt;&gt;"","default "&amp;IF(G18="text","'"&amp;H18&amp;"'",H18),"")</f>
        <v/>
      </c>
      <c r="S18" s="78" t="str">
        <f t="shared" ref="S18:S28" si="11">IF(I18="○","NOT NULL","")</f>
        <v>NOT NULL</v>
      </c>
      <c r="T18" s="78" t="str">
        <f t="shared" ref="T18:T28" si="12">"-- "&amp;C18</f>
        <v>-- 町域コード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milscm_2023_010.azn_202310_backup_mt_postal.town_code IS '町域コード';</v>
      </c>
    </row>
    <row r="19" spans="1:45" s="25" customFormat="1">
      <c r="A19" s="4"/>
      <c r="B19" s="21">
        <f t="shared" si="2"/>
        <v>7</v>
      </c>
      <c r="C19" s="6" t="s">
        <v>961</v>
      </c>
      <c r="D19" s="6" t="s">
        <v>962</v>
      </c>
      <c r="E19" s="8"/>
      <c r="F19" s="7" t="s">
        <v>318</v>
      </c>
      <c r="G19" s="7" t="str">
        <f t="shared" si="7"/>
        <v>text</v>
      </c>
      <c r="H19" s="26"/>
      <c r="I19" s="10" t="s">
        <v>127</v>
      </c>
      <c r="J19" s="11"/>
      <c r="M19" s="4"/>
      <c r="N19" s="78"/>
      <c r="O19" s="78"/>
      <c r="P19" s="78" t="str">
        <f t="shared" si="8"/>
        <v>,prefecture</v>
      </c>
      <c r="Q19" s="78" t="str">
        <f t="shared" si="9"/>
        <v>TEXT</v>
      </c>
      <c r="R19" s="78" t="str">
        <f t="shared" si="10"/>
        <v/>
      </c>
      <c r="S19" s="78" t="str">
        <f t="shared" si="11"/>
        <v>NOT NULL</v>
      </c>
      <c r="T19" s="78" t="str">
        <f t="shared" si="12"/>
        <v>-- 都道府県</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milscm_2023_010.azn_202310_backup_mt_postal.prefecture IS '都道府県';</v>
      </c>
    </row>
    <row r="20" spans="1:45" s="25" customFormat="1">
      <c r="A20" s="4"/>
      <c r="B20" s="21">
        <f t="shared" si="2"/>
        <v>8</v>
      </c>
      <c r="C20" s="6" t="s">
        <v>3427</v>
      </c>
      <c r="D20" s="6" t="s">
        <v>3428</v>
      </c>
      <c r="E20" s="8"/>
      <c r="F20" s="7" t="s">
        <v>318</v>
      </c>
      <c r="G20" s="7" t="str">
        <f t="shared" si="7"/>
        <v>text</v>
      </c>
      <c r="H20" s="26"/>
      <c r="I20" s="10" t="s">
        <v>127</v>
      </c>
      <c r="J20" s="11"/>
      <c r="M20" s="4"/>
      <c r="N20" s="78"/>
      <c r="O20" s="78"/>
      <c r="P20" s="78" t="str">
        <f t="shared" si="8"/>
        <v>,prefecture_kana</v>
      </c>
      <c r="Q20" s="78" t="str">
        <f t="shared" si="9"/>
        <v>TEXT</v>
      </c>
      <c r="R20" s="78" t="str">
        <f t="shared" si="10"/>
        <v/>
      </c>
      <c r="S20" s="78" t="str">
        <f t="shared" si="11"/>
        <v>NOT NULL</v>
      </c>
      <c r="T20" s="78" t="str">
        <f t="shared" si="12"/>
        <v>-- 都道府県カナ</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milscm_2023_010.azn_202310_backup_mt_postal.prefecture_kana IS '都道府県カナ';</v>
      </c>
    </row>
    <row r="21" spans="1:45" s="25" customFormat="1">
      <c r="A21" s="4"/>
      <c r="B21" s="21">
        <f t="shared" si="2"/>
        <v>9</v>
      </c>
      <c r="C21" s="6" t="s">
        <v>1946</v>
      </c>
      <c r="D21" s="6" t="s">
        <v>1947</v>
      </c>
      <c r="E21" s="8"/>
      <c r="F21" s="7" t="s">
        <v>318</v>
      </c>
      <c r="G21" s="7" t="str">
        <f t="shared" si="7"/>
        <v>text</v>
      </c>
      <c r="H21" s="26"/>
      <c r="I21" s="10" t="s">
        <v>127</v>
      </c>
      <c r="J21" s="11"/>
      <c r="M21" s="4"/>
      <c r="N21" s="78"/>
      <c r="O21" s="78"/>
      <c r="P21" s="78" t="str">
        <f t="shared" si="8"/>
        <v>,city</v>
      </c>
      <c r="Q21" s="78" t="str">
        <f t="shared" si="9"/>
        <v>TEXT</v>
      </c>
      <c r="R21" s="78" t="str">
        <f t="shared" si="10"/>
        <v/>
      </c>
      <c r="S21" s="78" t="str">
        <f t="shared" si="11"/>
        <v>NOT NULL</v>
      </c>
      <c r="T21" s="78" t="str">
        <f t="shared" si="12"/>
        <v>-- 市区町村</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milscm_2023_010.azn_202310_backup_mt_postal.city IS '市区町村';</v>
      </c>
    </row>
    <row r="22" spans="1:45" s="25" customFormat="1">
      <c r="A22" s="4"/>
      <c r="B22" s="21">
        <f t="shared" si="2"/>
        <v>10</v>
      </c>
      <c r="C22" s="6" t="s">
        <v>3429</v>
      </c>
      <c r="D22" s="6" t="s">
        <v>3430</v>
      </c>
      <c r="E22" s="8"/>
      <c r="F22" s="7" t="s">
        <v>318</v>
      </c>
      <c r="G22" s="7" t="str">
        <f t="shared" si="7"/>
        <v>text</v>
      </c>
      <c r="H22" s="26"/>
      <c r="I22" s="10" t="s">
        <v>127</v>
      </c>
      <c r="J22" s="11"/>
      <c r="M22" s="4"/>
      <c r="N22" s="78"/>
      <c r="O22" s="78"/>
      <c r="P22" s="78" t="str">
        <f t="shared" si="8"/>
        <v>,city_kana</v>
      </c>
      <c r="Q22" s="78" t="str">
        <f t="shared" si="9"/>
        <v>TEXT</v>
      </c>
      <c r="R22" s="78" t="str">
        <f t="shared" si="10"/>
        <v/>
      </c>
      <c r="S22" s="78" t="str">
        <f t="shared" si="11"/>
        <v>NOT NULL</v>
      </c>
      <c r="T22" s="78" t="str">
        <f t="shared" si="12"/>
        <v>-- 市区町村カナ</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milscm_2023_010.azn_202310_backup_mt_postal.city_kana IS '市区町村カナ';</v>
      </c>
    </row>
    <row r="23" spans="1:45" s="25" customFormat="1">
      <c r="A23" s="4"/>
      <c r="B23" s="21">
        <f t="shared" si="2"/>
        <v>11</v>
      </c>
      <c r="C23" s="6" t="s">
        <v>3431</v>
      </c>
      <c r="D23" s="6" t="s">
        <v>3109</v>
      </c>
      <c r="E23" s="8"/>
      <c r="F23" s="7" t="s">
        <v>318</v>
      </c>
      <c r="G23" s="7" t="str">
        <f t="shared" si="7"/>
        <v>text</v>
      </c>
      <c r="H23" s="26"/>
      <c r="I23" s="10"/>
      <c r="J23" s="11"/>
      <c r="M23" s="4"/>
      <c r="N23" s="78"/>
      <c r="O23" s="78"/>
      <c r="P23" s="78" t="str">
        <f t="shared" si="8"/>
        <v>,town</v>
      </c>
      <c r="Q23" s="78" t="str">
        <f t="shared" si="9"/>
        <v>TEXT</v>
      </c>
      <c r="R23" s="78" t="str">
        <f t="shared" si="10"/>
        <v/>
      </c>
      <c r="S23" s="78" t="str">
        <f t="shared" si="11"/>
        <v/>
      </c>
      <c r="T23" s="78" t="str">
        <f t="shared" si="12"/>
        <v>-- 町域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milscm_2023_010.azn_202310_backup_mt_postal.town IS '町域';</v>
      </c>
    </row>
    <row r="24" spans="1:45" s="25" customFormat="1">
      <c r="A24" s="4"/>
      <c r="B24" s="21">
        <f t="shared" si="2"/>
        <v>12</v>
      </c>
      <c r="C24" s="6" t="s">
        <v>3432</v>
      </c>
      <c r="D24" s="6" t="s">
        <v>3433</v>
      </c>
      <c r="E24" s="8"/>
      <c r="F24" s="7" t="s">
        <v>318</v>
      </c>
      <c r="G24" s="7" t="str">
        <f t="shared" si="7"/>
        <v>text</v>
      </c>
      <c r="H24" s="26"/>
      <c r="I24" s="10"/>
      <c r="J24" s="11"/>
      <c r="M24" s="4"/>
      <c r="N24" s="78"/>
      <c r="O24" s="78"/>
      <c r="P24" s="78" t="str">
        <f t="shared" si="8"/>
        <v>,town_kana</v>
      </c>
      <c r="Q24" s="78" t="str">
        <f t="shared" si="9"/>
        <v>TEXT</v>
      </c>
      <c r="R24" s="78" t="str">
        <f t="shared" si="10"/>
        <v/>
      </c>
      <c r="S24" s="78" t="str">
        <f t="shared" si="11"/>
        <v/>
      </c>
      <c r="T24" s="78" t="str">
        <f t="shared" si="12"/>
        <v>-- 町域カナ</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milscm_2023_010.azn_202310_backup_mt_postal.town_kana IS '町域カナ';</v>
      </c>
    </row>
    <row r="25" spans="1:45" s="25" customFormat="1">
      <c r="A25" s="4"/>
      <c r="B25" s="21">
        <f t="shared" si="2"/>
        <v>13</v>
      </c>
      <c r="C25" s="6" t="s">
        <v>3434</v>
      </c>
      <c r="D25" s="6" t="s">
        <v>3435</v>
      </c>
      <c r="E25" s="8"/>
      <c r="F25" s="7" t="s">
        <v>318</v>
      </c>
      <c r="G25" s="7" t="str">
        <f t="shared" si="7"/>
        <v>text</v>
      </c>
      <c r="H25" s="26"/>
      <c r="I25" s="10"/>
      <c r="J25" s="11"/>
      <c r="M25" s="4"/>
      <c r="N25" s="78"/>
      <c r="O25" s="78"/>
      <c r="P25" s="78" t="str">
        <f t="shared" si="8"/>
        <v>,town_hosoku</v>
      </c>
      <c r="Q25" s="78" t="str">
        <f t="shared" si="9"/>
        <v>TEXT</v>
      </c>
      <c r="R25" s="78" t="str">
        <f t="shared" si="10"/>
        <v/>
      </c>
      <c r="S25" s="78" t="str">
        <f t="shared" si="11"/>
        <v/>
      </c>
      <c r="T25" s="78" t="str">
        <f t="shared" si="12"/>
        <v>-- 町域補足</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milscm_2023_010.azn_202310_backup_mt_postal.town_hosoku IS '町域補足';</v>
      </c>
    </row>
    <row r="26" spans="1:45" s="25" customFormat="1">
      <c r="A26" s="4"/>
      <c r="B26" s="21">
        <f t="shared" si="2"/>
        <v>14</v>
      </c>
      <c r="C26" s="6" t="s">
        <v>3436</v>
      </c>
      <c r="D26" s="6" t="s">
        <v>3437</v>
      </c>
      <c r="E26" s="8"/>
      <c r="F26" s="7" t="s">
        <v>318</v>
      </c>
      <c r="G26" s="7" t="str">
        <f t="shared" si="7"/>
        <v>text</v>
      </c>
      <c r="H26" s="26"/>
      <c r="I26" s="10"/>
      <c r="J26" s="11"/>
      <c r="M26" s="4"/>
      <c r="N26" s="78"/>
      <c r="O26" s="78"/>
      <c r="P26" s="78" t="str">
        <f t="shared" si="8"/>
        <v>,kyoto_street</v>
      </c>
      <c r="Q26" s="78" t="str">
        <f t="shared" si="9"/>
        <v>TEXT</v>
      </c>
      <c r="R26" s="78" t="str">
        <f t="shared" si="10"/>
        <v/>
      </c>
      <c r="S26" s="78" t="str">
        <f t="shared" si="11"/>
        <v/>
      </c>
      <c r="T26" s="78" t="str">
        <f t="shared" si="12"/>
        <v>-- 京都通り名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milscm_2023_010.azn_202310_backup_mt_postal.kyoto_street IS '京都通り名';</v>
      </c>
    </row>
    <row r="27" spans="1:45" s="25" customFormat="1">
      <c r="A27" s="4"/>
      <c r="B27" s="21">
        <f t="shared" si="2"/>
        <v>15</v>
      </c>
      <c r="C27" s="6" t="s">
        <v>3438</v>
      </c>
      <c r="D27" s="6" t="s">
        <v>3111</v>
      </c>
      <c r="E27" s="8"/>
      <c r="F27" s="7" t="s">
        <v>318</v>
      </c>
      <c r="G27" s="7" t="str">
        <f t="shared" si="7"/>
        <v>text</v>
      </c>
      <c r="H27" s="26"/>
      <c r="I27" s="10"/>
      <c r="J27" s="11"/>
      <c r="M27" s="4"/>
      <c r="N27" s="78"/>
      <c r="O27" s="78"/>
      <c r="P27" s="78" t="str">
        <f t="shared" si="8"/>
        <v>,home_number</v>
      </c>
      <c r="Q27" s="78" t="str">
        <f t="shared" si="9"/>
        <v>TEXT</v>
      </c>
      <c r="R27" s="78" t="str">
        <f t="shared" si="10"/>
        <v/>
      </c>
      <c r="S27" s="78" t="str">
        <f t="shared" si="11"/>
        <v/>
      </c>
      <c r="T27" s="78" t="str">
        <f t="shared" si="12"/>
        <v>-- 字丁目</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milscm_2023_010.azn_202310_backup_mt_postal.home_number IS '字丁目';</v>
      </c>
    </row>
    <row r="28" spans="1:45" s="25" customFormat="1">
      <c r="A28" s="4"/>
      <c r="B28" s="21">
        <f t="shared" si="2"/>
        <v>16</v>
      </c>
      <c r="C28" s="6" t="s">
        <v>3439</v>
      </c>
      <c r="D28" s="6" t="s">
        <v>3440</v>
      </c>
      <c r="E28" s="8"/>
      <c r="F28" s="7" t="s">
        <v>318</v>
      </c>
      <c r="G28" s="7" t="str">
        <f t="shared" si="7"/>
        <v>text</v>
      </c>
      <c r="H28" s="26"/>
      <c r="I28" s="10"/>
      <c r="J28" s="11"/>
      <c r="M28" s="4"/>
      <c r="N28" s="78"/>
      <c r="O28" s="78"/>
      <c r="P28" s="78" t="str">
        <f t="shared" si="8"/>
        <v>,home_number_kana</v>
      </c>
      <c r="Q28" s="78" t="str">
        <f t="shared" si="9"/>
        <v>TEXT</v>
      </c>
      <c r="R28" s="78" t="str">
        <f t="shared" si="10"/>
        <v/>
      </c>
      <c r="S28" s="78" t="str">
        <f t="shared" si="11"/>
        <v/>
      </c>
      <c r="T28" s="78" t="str">
        <f t="shared" si="12"/>
        <v>-- 字丁目カナ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milscm_2023_010.azn_202310_backup_mt_postal.home_number_kana IS '字丁目カナ';</v>
      </c>
    </row>
    <row r="29" spans="1:45" s="25" customFormat="1" ht="37.5">
      <c r="A29" s="4"/>
      <c r="B29" s="21">
        <f t="shared" si="2"/>
        <v>17</v>
      </c>
      <c r="C29" s="6" t="s">
        <v>3352</v>
      </c>
      <c r="D29" s="6" t="s">
        <v>3353</v>
      </c>
      <c r="E29" s="8"/>
      <c r="F29" s="7" t="s">
        <v>318</v>
      </c>
      <c r="G29" s="7" t="str">
        <f t="shared" si="3"/>
        <v>text</v>
      </c>
      <c r="H29" s="26"/>
      <c r="I29" s="10"/>
      <c r="J29" s="11" t="s">
        <v>3443</v>
      </c>
      <c r="M29" s="4"/>
      <c r="N29" s="78"/>
      <c r="O29" s="78"/>
      <c r="P29" s="78" t="str">
        <f t="shared" si="4"/>
        <v>,ikosaki</v>
      </c>
      <c r="Q29" s="78" t="str">
        <f t="shared" si="0"/>
        <v>TEXT</v>
      </c>
      <c r="R29" s="78" t="str">
        <f t="shared" si="1"/>
        <v/>
      </c>
      <c r="S29" s="78" t="str">
        <f t="shared" si="5"/>
        <v/>
      </c>
      <c r="T29" s="78" t="str">
        <f t="shared" si="6"/>
        <v>-- 移行先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milscm_2023_010.azn_202310_backup_mt_postal.ikosaki IS '移行先';</v>
      </c>
    </row>
    <row r="30" spans="1:45" s="25" customFormat="1">
      <c r="A30" s="4"/>
      <c r="B30" s="21">
        <f t="shared" si="2"/>
        <v>18</v>
      </c>
      <c r="C30" s="6" t="s">
        <v>3354</v>
      </c>
      <c r="D30" s="6" t="s">
        <v>3355</v>
      </c>
      <c r="E30" s="8"/>
      <c r="F30" s="7" t="s">
        <v>318</v>
      </c>
      <c r="G30" s="7" t="str">
        <f t="shared" si="3"/>
        <v>text</v>
      </c>
      <c r="H30" s="26"/>
      <c r="I30" s="10" t="s">
        <v>127</v>
      </c>
      <c r="J30" s="11" t="s">
        <v>3362</v>
      </c>
      <c r="M30" s="4"/>
      <c r="N30" s="78"/>
      <c r="O30" s="78"/>
      <c r="P30" s="78" t="str">
        <f t="shared" si="4"/>
        <v>,nen</v>
      </c>
      <c r="Q30" s="78" t="str">
        <f t="shared" si="0"/>
        <v>TEXT</v>
      </c>
      <c r="R30" s="78" t="str">
        <f t="shared" si="1"/>
        <v/>
      </c>
      <c r="S30" s="78" t="str">
        <f t="shared" si="5"/>
        <v>NOT NULL</v>
      </c>
      <c r="T30" s="78" t="str">
        <f t="shared" si="6"/>
        <v>-- 年</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milscm_2023_010.azn_202310_backup_mt_postal.nen IS '年';</v>
      </c>
    </row>
    <row r="31" spans="1:45" s="25" customFormat="1">
      <c r="A31" s="4"/>
      <c r="B31" s="21">
        <f t="shared" si="2"/>
        <v>19</v>
      </c>
      <c r="C31" s="6" t="s">
        <v>3356</v>
      </c>
      <c r="D31" s="6" t="s">
        <v>3357</v>
      </c>
      <c r="E31" s="8"/>
      <c r="F31" s="7" t="s">
        <v>318</v>
      </c>
      <c r="G31" s="7" t="str">
        <f t="shared" si="3"/>
        <v>text</v>
      </c>
      <c r="H31" s="26"/>
      <c r="I31" s="10" t="s">
        <v>127</v>
      </c>
      <c r="J31" s="11" t="s">
        <v>3363</v>
      </c>
      <c r="M31" s="4"/>
      <c r="N31" s="78"/>
      <c r="O31" s="78"/>
      <c r="P31" s="78" t="str">
        <f t="shared" si="4"/>
        <v>,nengetsu</v>
      </c>
      <c r="Q31" s="78" t="str">
        <f t="shared" si="0"/>
        <v>TEXT</v>
      </c>
      <c r="R31" s="78" t="str">
        <f t="shared" si="1"/>
        <v/>
      </c>
      <c r="S31" s="78" t="str">
        <f t="shared" si="5"/>
        <v>NOT NULL</v>
      </c>
      <c r="T31" s="78" t="str">
        <f t="shared" si="6"/>
        <v>-- 年月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milscm_2023_010.azn_202310_backup_mt_postal.nengetsu IS '年月';</v>
      </c>
    </row>
    <row r="32" spans="1:45" s="25" customFormat="1" ht="19.5" thickBot="1">
      <c r="A32" s="4"/>
      <c r="B32" s="27">
        <f>ROW()-12</f>
        <v>20</v>
      </c>
      <c r="C32" s="57" t="s">
        <v>3358</v>
      </c>
      <c r="D32" s="57" t="s">
        <v>1926</v>
      </c>
      <c r="E32" s="56"/>
      <c r="F32" s="56" t="s">
        <v>318</v>
      </c>
      <c r="G32" s="56" t="str">
        <f t="shared" si="3"/>
        <v>text</v>
      </c>
      <c r="H32" s="59"/>
      <c r="I32" s="60" t="s">
        <v>127</v>
      </c>
      <c r="J32" s="64" t="s">
        <v>2444</v>
      </c>
      <c r="N32" s="78"/>
      <c r="O32" s="78"/>
      <c r="P32" s="78" t="str">
        <f t="shared" si="4"/>
        <v>,update_ymd</v>
      </c>
      <c r="Q32" s="78" t="str">
        <f t="shared" si="0"/>
        <v>TEXT</v>
      </c>
      <c r="R32" s="78" t="str">
        <f t="shared" si="1"/>
        <v/>
      </c>
      <c r="S32" s="78" t="str">
        <f t="shared" si="5"/>
        <v>NOT NULL</v>
      </c>
      <c r="T32" s="78" t="str">
        <f t="shared" si="6"/>
        <v>-- データ登録日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milscm_2023_010.azn_202310_backup_mt_postal.update_ymd IS 'データ登録日';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600-000000000000}"/>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ENT_01_A3-37</v>
      </c>
      <c r="E6" s="239"/>
      <c r="F6" s="239"/>
      <c r="G6" s="239"/>
      <c r="H6" s="239"/>
      <c r="I6" s="239"/>
      <c r="J6" s="240"/>
    </row>
    <row r="7" spans="1:45">
      <c r="B7" s="228" t="s">
        <v>115</v>
      </c>
      <c r="C7" s="229"/>
      <c r="D7" s="230" t="s">
        <v>3444</v>
      </c>
      <c r="E7" s="231"/>
      <c r="F7" s="231"/>
      <c r="G7" s="231"/>
      <c r="H7" s="231"/>
      <c r="I7" s="231"/>
      <c r="J7" s="232"/>
    </row>
    <row r="8" spans="1:45">
      <c r="B8" s="228" t="s">
        <v>116</v>
      </c>
      <c r="C8" s="229"/>
      <c r="D8" s="230" t="str">
        <f>エンティティ一覧!AE2&amp;"_"&amp;D5&amp;"_mt_tokutei_kizai"</f>
        <v>azn_202310_backup_mt_tokutei_kizai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特定機材マスタテーブルから組入れ条件の第一条件で絞り込んだ結果を格納するテーブル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milscm_2023_010.azn_202310_backup_mt_tokutei_kizai;</v>
      </c>
      <c r="O10" s="78"/>
      <c r="P10" s="78"/>
      <c r="Q10" s="78"/>
      <c r="R10" s="78"/>
      <c r="S10" s="78"/>
      <c r="T10" s="78"/>
      <c r="AJ10" s="78" t="str">
        <f>"ALTER TABLE ONLY "&amp;エンティティ一覧!$O$2&amp;"."&amp;D$8</f>
        <v>ALTER TABLE ONLY milscm_2023_010.azn_202310_backup_mt_tokutei_kizai</v>
      </c>
      <c r="AS10" s="78" t="str">
        <f>"ALTER TABLE "&amp;エンティティ一覧!$O$2&amp;"."&amp;D$8&amp;" OWNER TO pgmisgrp1;"</f>
        <v>ALTER TABLE milscm_2023_010.azn_202310_backup_mt_tokutei_kizai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milscm_2023_010.azn_202310_backup_mt_tokutei_kizai</v>
      </c>
      <c r="O11" s="78"/>
      <c r="P11" s="78"/>
      <c r="Q11" s="78"/>
      <c r="R11" s="78"/>
      <c r="S11" s="78"/>
      <c r="T11" s="78"/>
      <c r="AJ11" s="78" t="str">
        <f>"ADD CONSTRAINT "&amp;D$8&amp;"_pkey PRIMARY KEY"</f>
        <v>ADD CONSTRAINT azn_202310_backup_mt_tokutei_kizai_pkey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milscm_2023_010.azn_202310_backup_mt_tokutei_kizai IS 'バックアップ_特定機材マスタ';</v>
      </c>
    </row>
    <row r="13" spans="1:45" s="25" customFormat="1">
      <c r="A13" s="4"/>
      <c r="B13" s="21">
        <f>ROW()-12</f>
        <v>1</v>
      </c>
      <c r="C13" s="6" t="s">
        <v>3445</v>
      </c>
      <c r="D13" s="6" t="s">
        <v>3334</v>
      </c>
      <c r="E13" s="8" t="s">
        <v>127</v>
      </c>
      <c r="F13" s="8" t="s">
        <v>318</v>
      </c>
      <c r="G13" s="7" t="str">
        <f>IF(F13="フラグ","boolean",IF(F13="文字列","text",IF(F13="整数","integer",IF(F13="実数","numeric",""))))</f>
        <v>text</v>
      </c>
      <c r="H13" s="9"/>
      <c r="I13" s="10" t="s">
        <v>127</v>
      </c>
      <c r="J13" s="11" t="s">
        <v>3359</v>
      </c>
      <c r="M13" s="4"/>
      <c r="N13" s="78"/>
      <c r="O13" s="78"/>
      <c r="P13" s="78" t="str">
        <f>IF(B13&lt;&gt;1,","&amp;D13,D13)</f>
        <v>sekoubi</v>
      </c>
      <c r="Q13" s="78" t="str">
        <f t="shared" ref="Q13:Q21" si="0">UPPER(G13)</f>
        <v>TEXT</v>
      </c>
      <c r="R13" s="78" t="str">
        <f t="shared" ref="R13:R21" si="1">IF(H13&lt;&gt;"","default "&amp;IF(G13="text","'"&amp;H13&amp;"'",H13),"")</f>
        <v/>
      </c>
      <c r="S13" s="78" t="str">
        <f>IF(I13="○","NOT NULL","")</f>
        <v>NOT NULL</v>
      </c>
      <c r="T13" s="78" t="str">
        <f>"-- "&amp;C13</f>
        <v>-- 施行日</v>
      </c>
      <c r="U13" s="4"/>
      <c r="AA13" s="4"/>
      <c r="AB13" s="4"/>
      <c r="AC13" s="4"/>
      <c r="AD13" s="4"/>
      <c r="AE13" s="4"/>
      <c r="AF13" s="4"/>
      <c r="AG13" s="4"/>
      <c r="AH13" s="4"/>
      <c r="AI13" s="4"/>
      <c r="AJ13" s="78" t="str">
        <f>IF(E13="○",IF(COUNTA(E$13:E13)=1,"",",")&amp;D13,"")</f>
        <v>sekoubi</v>
      </c>
      <c r="AK13" s="4"/>
      <c r="AL13" s="4"/>
      <c r="AM13" s="4"/>
      <c r="AN13" s="4"/>
      <c r="AO13" s="4"/>
      <c r="AP13" s="4"/>
      <c r="AQ13" s="4"/>
      <c r="AR13" s="4"/>
      <c r="AS13" s="78" t="str">
        <f>"COMMENT ON COLUMN "&amp;エンティティ一覧!$O$2&amp;"."&amp;D$8&amp;"."&amp;D13&amp;" IS '"&amp;C13&amp;"';"</f>
        <v>COMMENT ON COLUMN milscm_2023_010.azn_202310_backup_mt_tokutei_kizai.sekoubi IS '施行日';</v>
      </c>
    </row>
    <row r="14" spans="1:45" s="25" customFormat="1">
      <c r="A14" s="4"/>
      <c r="B14" s="21">
        <f t="shared" ref="B14:B20" si="2">ROW()-12</f>
        <v>2</v>
      </c>
      <c r="C14" s="6" t="s">
        <v>3335</v>
      </c>
      <c r="D14" s="6" t="s">
        <v>2092</v>
      </c>
      <c r="E14" s="8" t="s">
        <v>127</v>
      </c>
      <c r="F14" s="7" t="s">
        <v>318</v>
      </c>
      <c r="G14" s="7" t="str">
        <f t="shared" ref="G14:G21" si="3">IF(F14="フラグ","boolean",IF(F14="文字列","text",IF(F14="整数","integer",IF(F14="実数","numeric",""))))</f>
        <v>text</v>
      </c>
      <c r="H14" s="26"/>
      <c r="I14" s="10" t="s">
        <v>127</v>
      </c>
      <c r="J14" s="11" t="s">
        <v>3448</v>
      </c>
      <c r="M14" s="4"/>
      <c r="N14" s="78"/>
      <c r="O14" s="78"/>
      <c r="P14" s="78" t="str">
        <f t="shared" ref="P14:P21" si="4">IF(B14&lt;&gt;1,","&amp;D14,D14)</f>
        <v>,koshin_kubun</v>
      </c>
      <c r="Q14" s="78" t="str">
        <f t="shared" si="0"/>
        <v>TEXT</v>
      </c>
      <c r="R14" s="78" t="str">
        <f t="shared" si="1"/>
        <v/>
      </c>
      <c r="S14" s="78" t="str">
        <f t="shared" ref="S14:S21" si="5">IF(I14="○","NOT NULL","")</f>
        <v>NOT NULL</v>
      </c>
      <c r="T14" s="78" t="str">
        <f t="shared" ref="T14:T21" si="6">"-- "&amp;C14</f>
        <v>-- 更新区分</v>
      </c>
      <c r="U14" s="4"/>
      <c r="AA14" s="4"/>
      <c r="AB14" s="4"/>
      <c r="AC14" s="4"/>
      <c r="AD14" s="4"/>
      <c r="AE14" s="4"/>
      <c r="AF14" s="4"/>
      <c r="AG14" s="4"/>
      <c r="AH14" s="4"/>
      <c r="AI14" s="4"/>
      <c r="AJ14" s="78" t="str">
        <f>IF(E14="○",IF(COUNTA(E$13:E14)=1,"",",")&amp;D14,"")</f>
        <v>,koshin_kubun</v>
      </c>
      <c r="AK14" s="4"/>
      <c r="AL14" s="4"/>
      <c r="AM14" s="4"/>
      <c r="AN14" s="4"/>
      <c r="AO14" s="4"/>
      <c r="AP14" s="4"/>
      <c r="AQ14" s="4"/>
      <c r="AR14" s="4"/>
      <c r="AS14" s="78" t="str">
        <f>"COMMENT ON COLUMN "&amp;エンティティ一覧!$O$2&amp;"."&amp;D$8&amp;"."&amp;D14&amp;" IS '"&amp;C14&amp;"';"</f>
        <v>COMMENT ON COLUMN milscm_2023_010.azn_202310_backup_mt_tokutei_kizai.koshin_kubun IS '更新区分';</v>
      </c>
    </row>
    <row r="15" spans="1:45" s="25" customFormat="1">
      <c r="A15" s="4"/>
      <c r="B15" s="21">
        <f t="shared" si="2"/>
        <v>3</v>
      </c>
      <c r="C15" s="6" t="s">
        <v>2675</v>
      </c>
      <c r="D15" s="6" t="s">
        <v>2676</v>
      </c>
      <c r="E15" s="8" t="s">
        <v>127</v>
      </c>
      <c r="F15" s="7" t="s">
        <v>318</v>
      </c>
      <c r="G15" s="7" t="str">
        <f t="shared" si="3"/>
        <v>text</v>
      </c>
      <c r="H15" s="26"/>
      <c r="I15" s="10" t="s">
        <v>127</v>
      </c>
      <c r="J15" s="11"/>
      <c r="M15" s="4"/>
      <c r="N15" s="78"/>
      <c r="O15" s="78"/>
      <c r="P15" s="78" t="str">
        <f t="shared" si="4"/>
        <v>,tokutei_kizai_cd</v>
      </c>
      <c r="Q15" s="78" t="str">
        <f t="shared" si="0"/>
        <v>TEXT</v>
      </c>
      <c r="R15" s="78" t="str">
        <f t="shared" si="1"/>
        <v/>
      </c>
      <c r="S15" s="78" t="str">
        <f t="shared" si="5"/>
        <v>NOT NULL</v>
      </c>
      <c r="T15" s="78" t="str">
        <f t="shared" si="6"/>
        <v>-- 特定器材コード</v>
      </c>
      <c r="U15" s="4"/>
      <c r="AA15" s="4"/>
      <c r="AB15" s="4"/>
      <c r="AC15" s="4"/>
      <c r="AD15" s="4"/>
      <c r="AE15" s="4"/>
      <c r="AF15" s="4"/>
      <c r="AG15" s="4"/>
      <c r="AH15" s="4"/>
      <c r="AI15" s="4"/>
      <c r="AJ15" s="78" t="str">
        <f>IF(E15="○",IF(COUNTA(E$13:E15)=1,"",",")&amp;D15,"")</f>
        <v>,tokutei_kizai_cd</v>
      </c>
      <c r="AK15" s="4"/>
      <c r="AL15" s="4"/>
      <c r="AM15" s="4"/>
      <c r="AN15" s="4"/>
      <c r="AO15" s="4"/>
      <c r="AP15" s="4"/>
      <c r="AQ15" s="4"/>
      <c r="AR15" s="4"/>
      <c r="AS15" s="78" t="str">
        <f>"COMMENT ON COLUMN "&amp;エンティティ一覧!$O$2&amp;"."&amp;D$8&amp;"."&amp;D15&amp;" IS '"&amp;C15&amp;"';"</f>
        <v>COMMENT ON COLUMN milscm_2023_010.azn_202310_backup_mt_tokutei_kizai.tokutei_kizai_cd IS '特定器材コード';</v>
      </c>
    </row>
    <row r="16" spans="1:45" s="25" customFormat="1">
      <c r="A16" s="4"/>
      <c r="B16" s="21">
        <f t="shared" si="2"/>
        <v>4</v>
      </c>
      <c r="C16" s="6" t="s">
        <v>2677</v>
      </c>
      <c r="D16" s="6" t="s">
        <v>2678</v>
      </c>
      <c r="E16" s="8"/>
      <c r="F16" s="7" t="s">
        <v>318</v>
      </c>
      <c r="G16" s="7" t="str">
        <f t="shared" si="3"/>
        <v>text</v>
      </c>
      <c r="H16" s="26"/>
      <c r="I16" s="10" t="s">
        <v>127</v>
      </c>
      <c r="J16" s="11"/>
      <c r="M16" s="4"/>
      <c r="N16" s="78"/>
      <c r="O16" s="78"/>
      <c r="P16" s="78" t="str">
        <f t="shared" si="4"/>
        <v>,tokutei_kizai_name</v>
      </c>
      <c r="Q16" s="78" t="str">
        <f t="shared" si="0"/>
        <v>TEXT</v>
      </c>
      <c r="R16" s="78" t="str">
        <f t="shared" si="1"/>
        <v/>
      </c>
      <c r="S16" s="78" t="str">
        <f t="shared" si="5"/>
        <v>NOT NULL</v>
      </c>
      <c r="T16" s="78" t="str">
        <f t="shared" si="6"/>
        <v>-- 特定器材名・規格名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milscm_2023_010.azn_202310_backup_mt_tokutei_kizai.tokutei_kizai_name IS '特定器材名・規格名';</v>
      </c>
    </row>
    <row r="17" spans="1:52" s="25" customFormat="1">
      <c r="A17" s="4"/>
      <c r="B17" s="21">
        <f t="shared" si="2"/>
        <v>5</v>
      </c>
      <c r="C17" s="6" t="s">
        <v>1696</v>
      </c>
      <c r="D17" s="6" t="s">
        <v>2679</v>
      </c>
      <c r="E17" s="8"/>
      <c r="F17" s="7" t="s">
        <v>318</v>
      </c>
      <c r="G17" s="7" t="str">
        <f t="shared" si="3"/>
        <v>text</v>
      </c>
      <c r="H17" s="26"/>
      <c r="I17" s="10"/>
      <c r="J17" s="11"/>
      <c r="M17" s="4"/>
      <c r="N17" s="78"/>
      <c r="O17" s="78"/>
      <c r="P17" s="78" t="str">
        <f t="shared" si="4"/>
        <v>,tokutei_kizai_tani</v>
      </c>
      <c r="Q17" s="78" t="str">
        <f t="shared" si="0"/>
        <v>TEXT</v>
      </c>
      <c r="R17" s="78" t="str">
        <f t="shared" si="1"/>
        <v/>
      </c>
      <c r="S17" s="78" t="str">
        <f t="shared" si="5"/>
        <v/>
      </c>
      <c r="T17" s="78" t="str">
        <f t="shared" si="6"/>
        <v>-- 単位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milscm_2023_010.azn_202310_backup_mt_tokutei_kizai.tokutei_kizai_tani IS '単位';</v>
      </c>
    </row>
    <row r="18" spans="1:52" s="25" customFormat="1" ht="37.5">
      <c r="A18" s="4"/>
      <c r="B18" s="21">
        <f t="shared" si="2"/>
        <v>6</v>
      </c>
      <c r="C18" s="6" t="s">
        <v>2680</v>
      </c>
      <c r="D18" s="6" t="s">
        <v>3446</v>
      </c>
      <c r="E18" s="8"/>
      <c r="F18" s="7" t="s">
        <v>333</v>
      </c>
      <c r="G18" s="7" t="str">
        <f t="shared" si="3"/>
        <v>numeric</v>
      </c>
      <c r="H18" s="26"/>
      <c r="I18" s="10" t="s">
        <v>127</v>
      </c>
      <c r="J18" s="11" t="s">
        <v>2440</v>
      </c>
      <c r="M18" s="4"/>
      <c r="N18" s="78"/>
      <c r="O18" s="78"/>
      <c r="P18" s="78" t="str">
        <f t="shared" si="4"/>
        <v>,tokutei_kizai_kingaku</v>
      </c>
      <c r="Q18" s="78" t="str">
        <f t="shared" si="0"/>
        <v>NUMERIC</v>
      </c>
      <c r="R18" s="78" t="str">
        <f t="shared" si="1"/>
        <v/>
      </c>
      <c r="S18" s="78" t="str">
        <f t="shared" si="5"/>
        <v>NOT NULL</v>
      </c>
      <c r="T18" s="78" t="str">
        <f t="shared" si="6"/>
        <v>-- 金額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milscm_2023_010.azn_202310_backup_mt_tokutei_kizai.tokutei_kizai_kingaku IS '金額';</v>
      </c>
    </row>
    <row r="19" spans="1:52" s="25" customFormat="1">
      <c r="A19" s="4"/>
      <c r="B19" s="21">
        <f t="shared" si="2"/>
        <v>7</v>
      </c>
      <c r="C19" s="6" t="s">
        <v>3447</v>
      </c>
      <c r="D19" s="6" t="s">
        <v>3355</v>
      </c>
      <c r="E19" s="8"/>
      <c r="F19" s="7" t="s">
        <v>318</v>
      </c>
      <c r="G19" s="7" t="str">
        <f t="shared" si="3"/>
        <v>text</v>
      </c>
      <c r="H19" s="26"/>
      <c r="I19" s="10" t="s">
        <v>127</v>
      </c>
      <c r="J19" s="11" t="s">
        <v>3362</v>
      </c>
      <c r="M19" s="4"/>
      <c r="N19" s="78"/>
      <c r="O19" s="78"/>
      <c r="P19" s="78" t="str">
        <f t="shared" si="4"/>
        <v>,nen</v>
      </c>
      <c r="Q19" s="78" t="str">
        <f t="shared" si="0"/>
        <v>TEXT</v>
      </c>
      <c r="R19" s="78" t="str">
        <f t="shared" si="1"/>
        <v/>
      </c>
      <c r="S19" s="78" t="str">
        <f t="shared" si="5"/>
        <v>NOT NULL</v>
      </c>
      <c r="T19" s="78" t="str">
        <f t="shared" si="6"/>
        <v>-- 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milscm_2023_010.azn_202310_backup_mt_tokutei_kizai.nen IS '年';</v>
      </c>
    </row>
    <row r="20" spans="1:52" s="25" customFormat="1">
      <c r="A20" s="4"/>
      <c r="B20" s="21">
        <f t="shared" si="2"/>
        <v>8</v>
      </c>
      <c r="C20" s="6" t="s">
        <v>2478</v>
      </c>
      <c r="D20" s="6" t="s">
        <v>3357</v>
      </c>
      <c r="E20" s="8"/>
      <c r="F20" s="7" t="s">
        <v>318</v>
      </c>
      <c r="G20" s="7" t="str">
        <f t="shared" si="3"/>
        <v>text</v>
      </c>
      <c r="H20" s="26"/>
      <c r="I20" s="10" t="s">
        <v>127</v>
      </c>
      <c r="J20" s="11" t="s">
        <v>3363</v>
      </c>
      <c r="M20" s="4"/>
      <c r="N20" s="78"/>
      <c r="O20" s="78"/>
      <c r="P20" s="78" t="str">
        <f t="shared" si="4"/>
        <v>,nengetsu</v>
      </c>
      <c r="Q20" s="78" t="str">
        <f t="shared" si="0"/>
        <v>TEXT</v>
      </c>
      <c r="R20" s="78" t="str">
        <f t="shared" si="1"/>
        <v/>
      </c>
      <c r="S20" s="78" t="str">
        <f t="shared" si="5"/>
        <v>NOT NULL</v>
      </c>
      <c r="T20" s="78" t="str">
        <f t="shared" si="6"/>
        <v>-- 年月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milscm_2023_010.azn_202310_backup_mt_tokutei_kizai.nengetsu IS '年月';</v>
      </c>
    </row>
    <row r="21" spans="1:52" s="25" customFormat="1" ht="19.5" thickBot="1">
      <c r="A21" s="4"/>
      <c r="B21" s="27">
        <f>ROW()-12</f>
        <v>9</v>
      </c>
      <c r="C21" s="57" t="s">
        <v>2444</v>
      </c>
      <c r="D21" s="57" t="s">
        <v>1926</v>
      </c>
      <c r="E21" s="56"/>
      <c r="F21" s="56" t="s">
        <v>318</v>
      </c>
      <c r="G21" s="56" t="str">
        <f t="shared" si="3"/>
        <v>text</v>
      </c>
      <c r="H21" s="59"/>
      <c r="I21" s="60" t="s">
        <v>127</v>
      </c>
      <c r="J21" s="64" t="s">
        <v>2444</v>
      </c>
      <c r="N21" s="78"/>
      <c r="O21" s="78"/>
      <c r="P21" s="78" t="str">
        <f t="shared" si="4"/>
        <v>,update_ymd</v>
      </c>
      <c r="Q21" s="78" t="str">
        <f t="shared" si="0"/>
        <v>TEXT</v>
      </c>
      <c r="R21" s="78" t="str">
        <f t="shared" si="1"/>
        <v/>
      </c>
      <c r="S21" s="78" t="str">
        <f t="shared" si="5"/>
        <v>NOT NULL</v>
      </c>
      <c r="T21" s="78" t="str">
        <f t="shared" si="6"/>
        <v>-- データ登録日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milscm_2023_010.azn_202310_backup_mt_tokutei_kizai.update_ymd IS 'データ登録日';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700-000000000000}"/>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ENT_01_A4-01</v>
      </c>
      <c r="E6" s="239"/>
      <c r="F6" s="239"/>
      <c r="G6" s="239"/>
      <c r="H6" s="239"/>
      <c r="I6" s="239"/>
      <c r="J6" s="240"/>
    </row>
    <row r="7" spans="1:45">
      <c r="B7" s="228" t="s">
        <v>115</v>
      </c>
      <c r="C7" s="229"/>
      <c r="D7" s="230" t="s">
        <v>2475</v>
      </c>
      <c r="E7" s="231"/>
      <c r="F7" s="231"/>
      <c r="G7" s="231"/>
      <c r="H7" s="231"/>
      <c r="I7" s="231"/>
      <c r="J7" s="232"/>
    </row>
    <row r="8" spans="1:45">
      <c r="B8" s="228" t="s">
        <v>116</v>
      </c>
      <c r="C8" s="229"/>
      <c r="D8" s="230" t="str">
        <f>エンティティ一覧!AE2&amp;"_"&amp;D5&amp;"_mt2_nendo"</f>
        <v>azn_202310_backup_mt2_nendo</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年度マスタテーブルから組入れ条件の第一条件で絞り込んだ結果を格納するテーブル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milscm_2023_010.azn_202310_backup_mt2_nendo;</v>
      </c>
      <c r="O10" s="78"/>
      <c r="P10" s="78"/>
      <c r="Q10" s="78"/>
      <c r="R10" s="78"/>
      <c r="S10" s="78"/>
      <c r="T10" s="78"/>
      <c r="AJ10" s="78" t="str">
        <f>"ALTER TABLE ONLY "&amp;エンティティ一覧!$O$2&amp;"."&amp;D$8</f>
        <v>ALTER TABLE ONLY milscm_2023_010.azn_202310_backup_mt2_nendo</v>
      </c>
      <c r="AS10" s="78" t="str">
        <f>"ALTER TABLE "&amp;エンティティ一覧!$O$2&amp;"."&amp;D$8&amp;" OWNER TO pgmisgrp1;"</f>
        <v>ALTER TABLE milscm_2023_010.azn_202310_backup_mt2_nendo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milscm_2023_010.azn_202310_backup_mt2_nendo</v>
      </c>
      <c r="O11" s="78"/>
      <c r="P11" s="78"/>
      <c r="Q11" s="78"/>
      <c r="R11" s="78"/>
      <c r="S11" s="78"/>
      <c r="T11" s="78"/>
      <c r="AJ11" s="78" t="str">
        <f>"ADD CONSTRAINT "&amp;D$8&amp;"_pkey PRIMARY KEY"</f>
        <v>ADD CONSTRAINT azn_202310_backup_mt2_nendo_pkey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milscm_2023_010.azn_202310_backup_mt2_nendo IS 'バックアップ_年度マスタ';</v>
      </c>
    </row>
    <row r="13" spans="1:45" s="25" customFormat="1">
      <c r="A13" s="4"/>
      <c r="B13" s="21">
        <f>ROW()-12</f>
        <v>1</v>
      </c>
      <c r="C13" s="6" t="s">
        <v>2476</v>
      </c>
      <c r="D13" s="6" t="s">
        <v>2477</v>
      </c>
      <c r="E13" s="8"/>
      <c r="F13" s="8" t="s">
        <v>205</v>
      </c>
      <c r="G13" s="7" t="str">
        <f>IF(F13="フラグ","boolean",IF(F13="文字列","text",IF(F13="整数","integer",IF(F13="実数","numeric",""))))</f>
        <v>integer</v>
      </c>
      <c r="H13" s="9"/>
      <c r="I13" s="10" t="s">
        <v>127</v>
      </c>
      <c r="J13" s="11" t="s">
        <v>2490</v>
      </c>
      <c r="M13" s="4"/>
      <c r="N13" s="78"/>
      <c r="O13" s="78"/>
      <c r="P13" s="78" t="str">
        <f>IF(B13&lt;&gt;1,","&amp;D13,D13)</f>
        <v>num</v>
      </c>
      <c r="Q13" s="78" t="str">
        <f t="shared" ref="Q13:Q19" si="0">UPPER(G13)</f>
        <v>INTEGER</v>
      </c>
      <c r="R13" s="78" t="str">
        <f t="shared" ref="R13:R19" si="1">IF(H13&lt;&gt;"","default "&amp;IF(G13="text","'"&amp;H13&amp;"'",H13),"")</f>
        <v/>
      </c>
      <c r="S13" s="78" t="str">
        <f>IF(I13="○","NOT NULL","")</f>
        <v>NOT NULL</v>
      </c>
      <c r="T13" s="78" t="str">
        <f>"-- "&amp;C13</f>
        <v>-- 項番</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milscm_2023_010.azn_202310_backup_mt2_nendo.num IS '項番';</v>
      </c>
    </row>
    <row r="14" spans="1:45" s="25" customFormat="1">
      <c r="A14" s="4"/>
      <c r="B14" s="21">
        <f t="shared" ref="B14:B18" si="2">ROW()-12</f>
        <v>2</v>
      </c>
      <c r="C14" s="6" t="s">
        <v>2478</v>
      </c>
      <c r="D14" s="6" t="s">
        <v>2479</v>
      </c>
      <c r="E14" s="8" t="s">
        <v>127</v>
      </c>
      <c r="F14" s="7" t="s">
        <v>740</v>
      </c>
      <c r="G14" s="7" t="str">
        <f t="shared" ref="G14:G19" si="3">IF(F14="フラグ","boolean",IF(F14="文字列","text",IF(F14="整数","integer",IF(F14="実数","numeric",""))))</f>
        <v>text</v>
      </c>
      <c r="H14" s="26" t="s">
        <v>2491</v>
      </c>
      <c r="I14" s="10" t="s">
        <v>127</v>
      </c>
      <c r="J14" s="11" t="s">
        <v>2478</v>
      </c>
      <c r="M14" s="4"/>
      <c r="N14" s="78"/>
      <c r="O14" s="78"/>
      <c r="P14" s="78" t="str">
        <f t="shared" ref="P14:P19" si="4">IF(B14&lt;&gt;1,","&amp;D14,D14)</f>
        <v>,ym</v>
      </c>
      <c r="Q14" s="78" t="str">
        <f t="shared" si="0"/>
        <v>TEXT</v>
      </c>
      <c r="R14" s="78" t="str">
        <f t="shared" si="1"/>
        <v>default '999999'</v>
      </c>
      <c r="S14" s="78" t="str">
        <f t="shared" ref="S14:S19" si="5">IF(I14="○","NOT NULL","")</f>
        <v>NOT NULL</v>
      </c>
      <c r="T14" s="78" t="str">
        <f t="shared" ref="T14:T19" si="6">"-- "&amp;C14</f>
        <v>-- 年月</v>
      </c>
      <c r="U14" s="4"/>
      <c r="AA14" s="4"/>
      <c r="AB14" s="4"/>
      <c r="AC14" s="4"/>
      <c r="AD14" s="4"/>
      <c r="AE14" s="4"/>
      <c r="AF14" s="4"/>
      <c r="AG14" s="4"/>
      <c r="AH14" s="4"/>
      <c r="AI14" s="4"/>
      <c r="AJ14" s="78" t="str">
        <f>IF(E14="○",IF(COUNTA(E$13:E14)=1,"",",")&amp;D14,"")</f>
        <v>ym</v>
      </c>
      <c r="AK14" s="4"/>
      <c r="AL14" s="4"/>
      <c r="AM14" s="4"/>
      <c r="AN14" s="4"/>
      <c r="AO14" s="4"/>
      <c r="AP14" s="4"/>
      <c r="AQ14" s="4"/>
      <c r="AR14" s="4"/>
      <c r="AS14" s="78" t="str">
        <f>"COMMENT ON COLUMN "&amp;エンティティ一覧!$O$2&amp;"."&amp;D$8&amp;"."&amp;D14&amp;" IS '"&amp;C14&amp;"';"</f>
        <v>COMMENT ON COLUMN milscm_2023_010.azn_202310_backup_mt2_nendo.ym IS '年月';</v>
      </c>
    </row>
    <row r="15" spans="1:45" s="25" customFormat="1">
      <c r="A15" s="4"/>
      <c r="B15" s="21">
        <f t="shared" si="2"/>
        <v>3</v>
      </c>
      <c r="C15" s="6" t="s">
        <v>2480</v>
      </c>
      <c r="D15" s="6" t="s">
        <v>2481</v>
      </c>
      <c r="E15" s="8"/>
      <c r="F15" s="7" t="s">
        <v>740</v>
      </c>
      <c r="G15" s="7" t="str">
        <f t="shared" ref="G15" si="7">IF(F15="フラグ","boolean",IF(F15="文字列","text",IF(F15="整数","integer",IF(F15="実数","numeric",""))))</f>
        <v>text</v>
      </c>
      <c r="H15" s="26" t="s">
        <v>2492</v>
      </c>
      <c r="I15" s="10" t="s">
        <v>127</v>
      </c>
      <c r="J15" s="11" t="s">
        <v>2493</v>
      </c>
      <c r="M15" s="4"/>
      <c r="N15" s="78"/>
      <c r="O15" s="78"/>
      <c r="P15" s="78" t="str">
        <f t="shared" ref="P15" si="8">IF(B15&lt;&gt;1,","&amp;D15,D15)</f>
        <v>,nendo_1</v>
      </c>
      <c r="Q15" s="78" t="str">
        <f t="shared" ref="Q15" si="9">UPPER(G15)</f>
        <v>TEXT</v>
      </c>
      <c r="R15" s="78" t="str">
        <f t="shared" ref="R15" si="10">IF(H15&lt;&gt;"","default "&amp;IF(G15="text","'"&amp;H15&amp;"'",H15),"")</f>
        <v>default '9999'</v>
      </c>
      <c r="S15" s="78" t="str">
        <f t="shared" ref="S15" si="11">IF(I15="○","NOT NULL","")</f>
        <v>NOT NULL</v>
      </c>
      <c r="T15" s="78" t="str">
        <f t="shared" ref="T15" si="12">"-- "&amp;C15</f>
        <v>-- 年度（1月始まり）</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milscm_2023_010.azn_202310_backup_mt2_nendo.nendo_1 IS '年度（1月始まり）';</v>
      </c>
    </row>
    <row r="16" spans="1:45" s="25" customFormat="1">
      <c r="A16" s="4"/>
      <c r="B16" s="21">
        <f t="shared" si="2"/>
        <v>4</v>
      </c>
      <c r="C16" s="6" t="s">
        <v>2482</v>
      </c>
      <c r="D16" s="6" t="s">
        <v>2483</v>
      </c>
      <c r="E16" s="8"/>
      <c r="F16" s="7" t="s">
        <v>740</v>
      </c>
      <c r="G16" s="7" t="str">
        <f t="shared" si="3"/>
        <v>text</v>
      </c>
      <c r="H16" s="26" t="s">
        <v>2492</v>
      </c>
      <c r="I16" s="10" t="s">
        <v>127</v>
      </c>
      <c r="J16" s="11" t="s">
        <v>2494</v>
      </c>
      <c r="M16" s="4"/>
      <c r="N16" s="78"/>
      <c r="O16" s="78"/>
      <c r="P16" s="78" t="str">
        <f t="shared" si="4"/>
        <v>,nendo_4</v>
      </c>
      <c r="Q16" s="78" t="str">
        <f t="shared" si="0"/>
        <v>TEXT</v>
      </c>
      <c r="R16" s="78" t="str">
        <f t="shared" si="1"/>
        <v>default '9999'</v>
      </c>
      <c r="S16" s="78" t="str">
        <f t="shared" si="5"/>
        <v>NOT NULL</v>
      </c>
      <c r="T16" s="78" t="str">
        <f t="shared" si="6"/>
        <v>-- 年度（4月始まり）</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milscm_2023_010.azn_202310_backup_mt2_nendo.nendo_4 IS '年度（4月始まり）';</v>
      </c>
    </row>
    <row r="17" spans="1:52" s="25" customFormat="1" ht="37.5">
      <c r="A17" s="4"/>
      <c r="B17" s="21">
        <f t="shared" si="2"/>
        <v>5</v>
      </c>
      <c r="C17" s="6" t="s">
        <v>2484</v>
      </c>
      <c r="D17" s="6" t="s">
        <v>2485</v>
      </c>
      <c r="E17" s="8"/>
      <c r="F17" s="7" t="s">
        <v>740</v>
      </c>
      <c r="G17" s="7" t="str">
        <f t="shared" si="3"/>
        <v>text</v>
      </c>
      <c r="H17" s="26" t="s">
        <v>2495</v>
      </c>
      <c r="I17" s="10" t="s">
        <v>127</v>
      </c>
      <c r="J17" s="11" t="s">
        <v>2496</v>
      </c>
      <c r="M17" s="4"/>
      <c r="N17" s="78"/>
      <c r="O17" s="78"/>
      <c r="P17" s="78" t="str">
        <f t="shared" si="4"/>
        <v>,q1</v>
      </c>
      <c r="Q17" s="78" t="str">
        <f t="shared" si="0"/>
        <v>TEXT</v>
      </c>
      <c r="R17" s="78" t="str">
        <f t="shared" si="1"/>
        <v>default '9999-9Q'</v>
      </c>
      <c r="S17" s="78" t="str">
        <f t="shared" si="5"/>
        <v>NOT NULL</v>
      </c>
      <c r="T17" s="78" t="str">
        <f t="shared" si="6"/>
        <v>-- 四半期（1月始まり）</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milscm_2023_010.azn_202310_backup_mt2_nendo.q1 IS '四半期（1月始まり）';</v>
      </c>
    </row>
    <row r="18" spans="1:52" s="25" customFormat="1" ht="37.5">
      <c r="A18" s="4"/>
      <c r="B18" s="21">
        <f t="shared" si="2"/>
        <v>6</v>
      </c>
      <c r="C18" s="6" t="s">
        <v>2486</v>
      </c>
      <c r="D18" s="6" t="s">
        <v>2487</v>
      </c>
      <c r="E18" s="8"/>
      <c r="F18" s="7" t="s">
        <v>740</v>
      </c>
      <c r="G18" s="7" t="str">
        <f t="shared" si="3"/>
        <v>text</v>
      </c>
      <c r="H18" s="26" t="s">
        <v>2495</v>
      </c>
      <c r="I18" s="10" t="s">
        <v>127</v>
      </c>
      <c r="J18" s="11" t="s">
        <v>2497</v>
      </c>
      <c r="M18" s="4"/>
      <c r="N18" s="78"/>
      <c r="O18" s="78"/>
      <c r="P18" s="78" t="str">
        <f t="shared" si="4"/>
        <v>,q4</v>
      </c>
      <c r="Q18" s="78" t="str">
        <f t="shared" si="0"/>
        <v>TEXT</v>
      </c>
      <c r="R18" s="78" t="str">
        <f t="shared" si="1"/>
        <v>default '9999-9Q'</v>
      </c>
      <c r="S18" s="78" t="str">
        <f t="shared" si="5"/>
        <v>NOT NULL</v>
      </c>
      <c r="T18" s="78" t="str">
        <f t="shared" si="6"/>
        <v>-- 四半期（4月始まり）</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milscm_2023_010.azn_202310_backup_mt2_nendo.q4 IS '四半期（4月始まり）';</v>
      </c>
    </row>
    <row r="19" spans="1:52" s="25" customFormat="1" ht="19.5" thickBot="1">
      <c r="A19" s="4"/>
      <c r="B19" s="27">
        <f>ROW()-12</f>
        <v>7</v>
      </c>
      <c r="C19" s="57" t="s">
        <v>2488</v>
      </c>
      <c r="D19" s="57" t="s">
        <v>2489</v>
      </c>
      <c r="E19" s="56"/>
      <c r="F19" s="56" t="s">
        <v>205</v>
      </c>
      <c r="G19" s="56" t="str">
        <f t="shared" si="3"/>
        <v>integer</v>
      </c>
      <c r="H19" s="59">
        <v>0</v>
      </c>
      <c r="I19" s="60" t="s">
        <v>127</v>
      </c>
      <c r="J19" s="64" t="s">
        <v>2498</v>
      </c>
      <c r="N19" s="78"/>
      <c r="O19" s="78"/>
      <c r="P19" s="78" t="str">
        <f t="shared" si="4"/>
        <v>,nissu</v>
      </c>
      <c r="Q19" s="78" t="str">
        <f t="shared" si="0"/>
        <v>INTEGER</v>
      </c>
      <c r="R19" s="78" t="str">
        <f t="shared" si="1"/>
        <v>default 0</v>
      </c>
      <c r="S19" s="78" t="str">
        <f t="shared" si="5"/>
        <v>NOT NULL</v>
      </c>
      <c r="T19" s="78" t="str">
        <f t="shared" si="6"/>
        <v>-- 日数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milscm_2023_010.azn_202310_backup_mt2_nendo.nissu IS '日数';</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800-000000000000}"/>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ENT_01_A4-02</v>
      </c>
      <c r="E6" s="239"/>
      <c r="F6" s="239"/>
      <c r="G6" s="239"/>
      <c r="H6" s="239"/>
      <c r="I6" s="239"/>
      <c r="J6" s="240"/>
    </row>
    <row r="7" spans="1:45">
      <c r="B7" s="228" t="s">
        <v>115</v>
      </c>
      <c r="C7" s="229"/>
      <c r="D7" s="230" t="s">
        <v>2499</v>
      </c>
      <c r="E7" s="231"/>
      <c r="F7" s="231"/>
      <c r="G7" s="231"/>
      <c r="H7" s="231"/>
      <c r="I7" s="231"/>
      <c r="J7" s="232"/>
    </row>
    <row r="8" spans="1:45">
      <c r="B8" s="228" t="s">
        <v>116</v>
      </c>
      <c r="C8" s="229"/>
      <c r="D8" s="230" t="str">
        <f>エンティティ一覧!AE2&amp;"_"&amp;D5&amp;"_mt2_prefecture_region"</f>
        <v>azn_202310_backup_mt2_prefecture_region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milscm_2023_010.azn_202310_backup_mt2_prefecture_region;</v>
      </c>
      <c r="O10" s="78"/>
      <c r="P10" s="78"/>
      <c r="Q10" s="78"/>
      <c r="R10" s="78"/>
      <c r="S10" s="78"/>
      <c r="T10" s="78"/>
      <c r="AJ10" s="78" t="str">
        <f>"ALTER TABLE ONLY "&amp;エンティティ一覧!$O$2&amp;"."&amp;D$8</f>
        <v>ALTER TABLE ONLY milscm_2023_010.azn_202310_backup_mt2_prefecture_region</v>
      </c>
      <c r="AS10" s="78" t="str">
        <f>"ALTER TABLE "&amp;エンティティ一覧!$O$2&amp;"."&amp;D$8&amp;" OWNER TO pgmisgrp1;"</f>
        <v>ALTER TABLE milscm_2023_010.azn_202310_backup_mt2_prefecture_region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milscm_2023_010.azn_202310_backup_mt2_prefecture_region</v>
      </c>
      <c r="O11" s="78"/>
      <c r="P11" s="78"/>
      <c r="Q11" s="78"/>
      <c r="R11" s="78"/>
      <c r="S11" s="78"/>
      <c r="T11" s="78"/>
      <c r="AJ11" s="78" t="str">
        <f>"ADD CONSTRAINT "&amp;D$8&amp;"_pkey PRIMARY KEY"</f>
        <v>ADD CONSTRAINT azn_202310_backup_mt2_prefecture_region_pkey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milscm_2023_010.azn_202310_backup_mt2_prefecture_region IS 'バックアップ_都道府県地方コードマスタ';</v>
      </c>
    </row>
    <row r="13" spans="1:45" s="25" customFormat="1">
      <c r="A13" s="4"/>
      <c r="B13" s="21">
        <f>ROW()-12</f>
        <v>1</v>
      </c>
      <c r="C13" s="6" t="s">
        <v>2500</v>
      </c>
      <c r="D13" s="6" t="s">
        <v>1942</v>
      </c>
      <c r="E13" s="8" t="s">
        <v>127</v>
      </c>
      <c r="F13" s="8" t="s">
        <v>740</v>
      </c>
      <c r="G13" s="7" t="str">
        <f>IF(F13="フラグ","boolean",IF(F13="文字列","text",IF(F13="整数","integer",IF(F13="実数","numeric",""))))</f>
        <v>text</v>
      </c>
      <c r="H13" s="9"/>
      <c r="I13" s="10" t="s">
        <v>127</v>
      </c>
      <c r="J13" s="11"/>
      <c r="M13" s="4"/>
      <c r="N13" s="78"/>
      <c r="O13" s="78"/>
      <c r="P13" s="78" t="str">
        <f>IF(B13&lt;&gt;1,","&amp;D13,D13)</f>
        <v>prefecture_cd</v>
      </c>
      <c r="Q13" s="78" t="str">
        <f t="shared" ref="Q13:Q16" si="0">UPPER(G13)</f>
        <v>TEXT</v>
      </c>
      <c r="R13" s="78" t="str">
        <f t="shared" ref="R13:R16" si="1">IF(H13&lt;&gt;"","default "&amp;IF(G13="text","'"&amp;H13&amp;"'",H13),"")</f>
        <v/>
      </c>
      <c r="S13" s="78" t="str">
        <f>IF(I13="○","NOT NULL","")</f>
        <v>NOT NULL</v>
      </c>
      <c r="T13" s="78" t="str">
        <f>"-- "&amp;C13</f>
        <v>-- 都道府県コード</v>
      </c>
      <c r="U13" s="4"/>
      <c r="AA13" s="4"/>
      <c r="AB13" s="4"/>
      <c r="AC13" s="4"/>
      <c r="AD13" s="4"/>
      <c r="AE13" s="4"/>
      <c r="AF13" s="4"/>
      <c r="AG13" s="4"/>
      <c r="AH13" s="4"/>
      <c r="AI13" s="4"/>
      <c r="AJ13" s="78" t="str">
        <f>IF(E13="○",IF(COUNTA(E$13:E13)=1,"",",")&amp;D13,"")</f>
        <v>prefecture_cd</v>
      </c>
      <c r="AK13" s="4"/>
      <c r="AL13" s="4"/>
      <c r="AM13" s="4"/>
      <c r="AN13" s="4"/>
      <c r="AO13" s="4"/>
      <c r="AP13" s="4"/>
      <c r="AQ13" s="4"/>
      <c r="AR13" s="4"/>
      <c r="AS13" s="78" t="str">
        <f>"COMMENT ON COLUMN "&amp;エンティティ一覧!$O$2&amp;"."&amp;D$8&amp;"."&amp;D13&amp;" IS '"&amp;C13&amp;"';"</f>
        <v>COMMENT ON COLUMN milscm_2023_010.azn_202310_backup_mt2_prefecture_region.prefecture_cd IS '都道府県コード';</v>
      </c>
    </row>
    <row r="14" spans="1:45" s="25" customFormat="1">
      <c r="A14" s="4"/>
      <c r="B14" s="21">
        <f t="shared" ref="B14:B15" si="2">ROW()-12</f>
        <v>2</v>
      </c>
      <c r="C14" s="6" t="s">
        <v>2501</v>
      </c>
      <c r="D14" s="6" t="s">
        <v>962</v>
      </c>
      <c r="E14" s="8"/>
      <c r="F14" s="7" t="s">
        <v>740</v>
      </c>
      <c r="G14" s="7" t="str">
        <f t="shared" ref="G14:G16" si="3">IF(F14="フラグ","boolean",IF(F14="文字列","text",IF(F14="整数","integer",IF(F14="実数","numeric",""))))</f>
        <v>text</v>
      </c>
      <c r="H14" s="26"/>
      <c r="I14" s="10" t="s">
        <v>127</v>
      </c>
      <c r="J14" s="11"/>
      <c r="M14" s="4"/>
      <c r="N14" s="78"/>
      <c r="O14" s="78"/>
      <c r="P14" s="78" t="str">
        <f t="shared" ref="P14:P16" si="4">IF(B14&lt;&gt;1,","&amp;D14,D14)</f>
        <v>,prefecture</v>
      </c>
      <c r="Q14" s="78" t="str">
        <f t="shared" si="0"/>
        <v>TEXT</v>
      </c>
      <c r="R14" s="78" t="str">
        <f t="shared" si="1"/>
        <v/>
      </c>
      <c r="S14" s="78" t="str">
        <f t="shared" ref="S14:S16" si="5">IF(I14="○","NOT NULL","")</f>
        <v>NOT NULL</v>
      </c>
      <c r="T14" s="78" t="str">
        <f t="shared" ref="T14:T16" si="6">"-- "&amp;C14</f>
        <v>-- 都道府県名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milscm_2023_010.azn_202310_backup_mt2_prefecture_region.prefecture IS '都道府県名';</v>
      </c>
    </row>
    <row r="15" spans="1:45" s="25" customFormat="1">
      <c r="A15" s="4"/>
      <c r="B15" s="21">
        <f t="shared" si="2"/>
        <v>3</v>
      </c>
      <c r="C15" s="6" t="s">
        <v>2502</v>
      </c>
      <c r="D15" s="6" t="s">
        <v>2503</v>
      </c>
      <c r="E15" s="8"/>
      <c r="F15" s="7" t="s">
        <v>740</v>
      </c>
      <c r="G15" s="7" t="str">
        <f t="shared" si="3"/>
        <v>text</v>
      </c>
      <c r="H15" s="26"/>
      <c r="I15" s="10" t="s">
        <v>127</v>
      </c>
      <c r="J15" s="11"/>
      <c r="M15" s="4"/>
      <c r="N15" s="78"/>
      <c r="O15" s="78"/>
      <c r="P15" s="78" t="str">
        <f t="shared" si="4"/>
        <v>,region_cd</v>
      </c>
      <c r="Q15" s="78" t="str">
        <f t="shared" si="0"/>
        <v>TEXT</v>
      </c>
      <c r="R15" s="78" t="str">
        <f t="shared" si="1"/>
        <v/>
      </c>
      <c r="S15" s="78" t="str">
        <f t="shared" si="5"/>
        <v>NOT NULL</v>
      </c>
      <c r="T15" s="78" t="str">
        <f t="shared" si="6"/>
        <v>-- 地方コード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milscm_2023_010.azn_202310_backup_mt2_prefecture_region.region_cd IS '地方コード';</v>
      </c>
    </row>
    <row r="16" spans="1:45" s="25" customFormat="1" ht="19.5" thickBot="1">
      <c r="A16" s="4"/>
      <c r="B16" s="27">
        <f>ROW()-12</f>
        <v>4</v>
      </c>
      <c r="C16" s="57" t="s">
        <v>2504</v>
      </c>
      <c r="D16" s="57" t="s">
        <v>2505</v>
      </c>
      <c r="E16" s="56"/>
      <c r="F16" s="56" t="s">
        <v>740</v>
      </c>
      <c r="G16" s="56" t="str">
        <f t="shared" si="3"/>
        <v>text</v>
      </c>
      <c r="H16" s="59"/>
      <c r="I16" s="60" t="s">
        <v>127</v>
      </c>
      <c r="J16" s="64"/>
      <c r="N16" s="78"/>
      <c r="O16" s="78"/>
      <c r="P16" s="78" t="str">
        <f t="shared" si="4"/>
        <v>,region</v>
      </c>
      <c r="Q16" s="78" t="str">
        <f t="shared" si="0"/>
        <v>TEXT</v>
      </c>
      <c r="R16" s="78" t="str">
        <f t="shared" si="1"/>
        <v/>
      </c>
      <c r="S16" s="78" t="str">
        <f t="shared" si="5"/>
        <v>NOT NULL</v>
      </c>
      <c r="T16" s="78" t="str">
        <f t="shared" si="6"/>
        <v>-- 地方名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milscm_2023_010.azn_202310_backup_mt2_prefecture_region.region IS '地方名';</v>
      </c>
    </row>
    <row r="17" spans="2:52">
      <c r="L17" s="25"/>
      <c r="M17" s="25"/>
      <c r="N17" s="78" t="s">
        <v>142</v>
      </c>
      <c r="O17" s="78"/>
      <c r="P17" s="78"/>
      <c r="Q17" s="78"/>
      <c r="R17" s="78"/>
      <c r="S17" s="78"/>
      <c r="T17" s="78"/>
      <c r="V17" s="25"/>
      <c r="W17" s="25"/>
      <c r="X17" s="25"/>
      <c r="Y17" s="25"/>
      <c r="Z17" s="25"/>
      <c r="AJ17" s="78" t="s">
        <v>142</v>
      </c>
      <c r="AT17" s="25"/>
      <c r="AU17" s="25"/>
      <c r="AV17" s="25"/>
      <c r="AW17" s="25"/>
      <c r="AX17" s="25"/>
      <c r="AY17" s="25"/>
      <c r="AZ17" s="25"/>
    </row>
    <row r="18" spans="2:52">
      <c r="B18" s="83" t="s">
        <v>2506</v>
      </c>
      <c r="L18" s="25"/>
      <c r="M18" s="25"/>
      <c r="V18" s="25"/>
      <c r="W18" s="25"/>
      <c r="X18" s="25"/>
      <c r="Y18" s="25"/>
      <c r="Z18" s="25"/>
      <c r="AT18" s="25"/>
      <c r="AU18" s="25"/>
      <c r="AV18" s="25"/>
      <c r="AW18" s="25"/>
      <c r="AX18" s="25"/>
      <c r="AY18" s="25"/>
      <c r="AZ18" s="25"/>
    </row>
    <row r="19" spans="2:52">
      <c r="B19" s="84" t="s">
        <v>2507</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4"/>
      <c r="C21" s="85" t="s">
        <v>2508</v>
      </c>
      <c r="D21" s="85" t="s">
        <v>2509</v>
      </c>
      <c r="E21" s="244" t="s">
        <v>2510</v>
      </c>
      <c r="F21" s="245"/>
      <c r="G21" s="245"/>
      <c r="H21" s="245"/>
      <c r="I21" s="245"/>
      <c r="J21" s="246"/>
    </row>
    <row r="22" spans="2:52">
      <c r="B22" s="84"/>
      <c r="C22" s="86" t="s">
        <v>2511</v>
      </c>
      <c r="D22" s="86" t="s">
        <v>2512</v>
      </c>
      <c r="E22" s="241" t="s">
        <v>2513</v>
      </c>
      <c r="F22" s="242"/>
      <c r="G22" s="242"/>
      <c r="H22" s="242"/>
      <c r="I22" s="242"/>
      <c r="J22" s="243"/>
    </row>
    <row r="23" spans="2:52">
      <c r="B23" s="84"/>
      <c r="C23" s="86" t="s">
        <v>2514</v>
      </c>
      <c r="D23" s="86" t="s">
        <v>2515</v>
      </c>
      <c r="E23" s="241" t="s">
        <v>2516</v>
      </c>
      <c r="F23" s="242"/>
      <c r="G23" s="242"/>
      <c r="H23" s="242"/>
      <c r="I23" s="242"/>
      <c r="J23" s="243"/>
    </row>
    <row r="24" spans="2:52">
      <c r="B24" s="84"/>
      <c r="C24" s="86" t="s">
        <v>2517</v>
      </c>
      <c r="D24" s="86" t="s">
        <v>2518</v>
      </c>
      <c r="E24" s="241" t="s">
        <v>2519</v>
      </c>
      <c r="F24" s="242"/>
      <c r="G24" s="242"/>
      <c r="H24" s="242"/>
      <c r="I24" s="242"/>
      <c r="J24" s="243"/>
    </row>
    <row r="25" spans="2:52">
      <c r="B25" s="84"/>
      <c r="C25" s="86" t="s">
        <v>2520</v>
      </c>
      <c r="D25" s="86" t="s">
        <v>2521</v>
      </c>
      <c r="E25" s="241" t="s">
        <v>2522</v>
      </c>
      <c r="F25" s="242"/>
      <c r="G25" s="242"/>
      <c r="H25" s="242"/>
      <c r="I25" s="242"/>
      <c r="J25" s="243"/>
    </row>
    <row r="26" spans="2:52">
      <c r="B26" s="84"/>
      <c r="C26" s="86" t="s">
        <v>2523</v>
      </c>
      <c r="D26" s="86" t="s">
        <v>2524</v>
      </c>
      <c r="E26" s="241" t="s">
        <v>2525</v>
      </c>
      <c r="F26" s="242"/>
      <c r="G26" s="242"/>
      <c r="H26" s="242"/>
      <c r="I26" s="242"/>
      <c r="J26" s="243"/>
    </row>
    <row r="27" spans="2:52">
      <c r="B27" s="84"/>
      <c r="C27" s="86" t="s">
        <v>2526</v>
      </c>
      <c r="D27" s="86" t="s">
        <v>2527</v>
      </c>
      <c r="E27" s="241" t="s">
        <v>2528</v>
      </c>
      <c r="F27" s="242"/>
      <c r="G27" s="242"/>
      <c r="H27" s="242"/>
      <c r="I27" s="242"/>
      <c r="J27" s="243"/>
    </row>
    <row r="28" spans="2:52">
      <c r="B28" s="84"/>
      <c r="C28" s="86" t="s">
        <v>2529</v>
      </c>
      <c r="D28" s="86" t="s">
        <v>2530</v>
      </c>
      <c r="E28" s="241" t="s">
        <v>2531</v>
      </c>
      <c r="F28" s="242"/>
      <c r="G28" s="242"/>
      <c r="H28" s="242"/>
      <c r="I28" s="242"/>
      <c r="J28" s="243"/>
    </row>
    <row r="29" spans="2:52">
      <c r="B29" s="84"/>
      <c r="C29" s="86" t="s">
        <v>2532</v>
      </c>
      <c r="D29" s="86" t="s">
        <v>2533</v>
      </c>
      <c r="E29" s="241" t="s">
        <v>2534</v>
      </c>
      <c r="F29" s="242"/>
      <c r="G29" s="242"/>
      <c r="H29" s="242"/>
      <c r="I29" s="242"/>
      <c r="J29" s="243"/>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B4:C4"/>
    <mergeCell ref="D4:J4"/>
    <mergeCell ref="B1:C2"/>
    <mergeCell ref="D1:G1"/>
    <mergeCell ref="H1:I1"/>
    <mergeCell ref="D2:G2"/>
    <mergeCell ref="H2:I2"/>
    <mergeCell ref="B5:C5"/>
    <mergeCell ref="D5:J5"/>
    <mergeCell ref="B6:C6"/>
    <mergeCell ref="D6:J6"/>
    <mergeCell ref="B7:C7"/>
    <mergeCell ref="D7:J7"/>
    <mergeCell ref="E26:J26"/>
    <mergeCell ref="E27:J27"/>
    <mergeCell ref="E28:J28"/>
    <mergeCell ref="E29:J29"/>
    <mergeCell ref="B8:C8"/>
    <mergeCell ref="D8:J8"/>
    <mergeCell ref="B9:C9"/>
    <mergeCell ref="D9:J9"/>
    <mergeCell ref="E21:J21"/>
    <mergeCell ref="E22:J22"/>
    <mergeCell ref="E23:J23"/>
    <mergeCell ref="E24:J24"/>
    <mergeCell ref="E25:J25"/>
  </mergeCells>
  <phoneticPr fontId="8"/>
  <hyperlinks>
    <hyperlink ref="A1" location="エンティティ一覧!A1" display="エンティティ一覧" xr:uid="{00000000-0004-0000-3900-000000000000}"/>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Z6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ENT_01_A4-03</v>
      </c>
      <c r="E6" s="239"/>
      <c r="F6" s="239"/>
      <c r="G6" s="239"/>
      <c r="H6" s="239"/>
      <c r="I6" s="239"/>
      <c r="J6" s="240"/>
    </row>
    <row r="7" spans="1:45">
      <c r="B7" s="228" t="s">
        <v>115</v>
      </c>
      <c r="C7" s="229"/>
      <c r="D7" s="230" t="s">
        <v>2535</v>
      </c>
      <c r="E7" s="231"/>
      <c r="F7" s="231"/>
      <c r="G7" s="231"/>
      <c r="H7" s="231"/>
      <c r="I7" s="231"/>
      <c r="J7" s="232"/>
    </row>
    <row r="8" spans="1:45">
      <c r="B8" s="228" t="s">
        <v>116</v>
      </c>
      <c r="C8" s="229"/>
      <c r="D8" s="230" t="str">
        <f>エンティティ一覧!AE2&amp;"_"&amp;D5&amp;"_mt2_shisetsu_zokusei"</f>
        <v>azn_202310_backup_mt2_shisetsu_zokusei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施設属性マスタテーブルから組入れ条件の第一条件で絞り込んだ結果を格納するテーブル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milscm_2023_010.azn_202310_backup_mt2_shisetsu_zokusei;</v>
      </c>
      <c r="O10" s="78"/>
      <c r="P10" s="78"/>
      <c r="Q10" s="78"/>
      <c r="R10" s="78"/>
      <c r="S10" s="78"/>
      <c r="T10" s="78"/>
      <c r="AJ10" s="78" t="str">
        <f>"ALTER TABLE ONLY "&amp;エンティティ一覧!$O$2&amp;"."&amp;D$8</f>
        <v>ALTER TABLE ONLY milscm_2023_010.azn_202310_backup_mt2_shisetsu_zokusei</v>
      </c>
      <c r="AS10" s="78" t="str">
        <f>"ALTER TABLE "&amp;エンティティ一覧!$O$2&amp;"."&amp;D$8&amp;" OWNER TO pgmisgrp1;"</f>
        <v>ALTER TABLE milscm_2023_010.azn_202310_backup_mt2_shisetsu_zokusei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milscm_2023_010.azn_202310_backup_mt2_shisetsu_zokusei</v>
      </c>
      <c r="O11" s="78"/>
      <c r="P11" s="78"/>
      <c r="Q11" s="78"/>
      <c r="R11" s="78"/>
      <c r="S11" s="78"/>
      <c r="T11" s="78"/>
      <c r="AJ11" s="78" t="str">
        <f>"ADD CONSTRAINT "&amp;D$8&amp;"_pkey PRIMARY KEY"</f>
        <v>ADD CONSTRAINT azn_202310_backup_mt2_shisetsu_zokusei_pkey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milscm_2023_010.azn_202310_backup_mt2_shisetsu_zokusei IS 'バックアップ_施設属性マスタ';</v>
      </c>
    </row>
    <row r="13" spans="1:45" s="25" customFormat="1">
      <c r="A13" s="4"/>
      <c r="B13" s="21">
        <f>ROW()-12</f>
        <v>1</v>
      </c>
      <c r="C13" s="6" t="s">
        <v>137</v>
      </c>
      <c r="D13" s="6" t="s">
        <v>128</v>
      </c>
      <c r="E13" s="8" t="s">
        <v>127</v>
      </c>
      <c r="F13" s="8" t="s">
        <v>740</v>
      </c>
      <c r="G13" s="7" t="str">
        <f>IF(F13="フラグ","boolean",IF(F13="文字列","text",IF(F13="整数","integer",IF(F13="実数","numeric",""))))</f>
        <v>text</v>
      </c>
      <c r="H13" s="9"/>
      <c r="I13" s="10" t="s">
        <v>127</v>
      </c>
      <c r="J13" s="11" t="s">
        <v>2563</v>
      </c>
      <c r="M13" s="4"/>
      <c r="N13" s="78"/>
      <c r="O13" s="78"/>
      <c r="P13" s="78" t="str">
        <f>IF(B13&lt;&gt;1,","&amp;D13,D13)</f>
        <v>facility_id</v>
      </c>
      <c r="Q13" s="78" t="str">
        <f t="shared" ref="Q13:Q44" si="0">UPPER(G13)</f>
        <v>TEXT</v>
      </c>
      <c r="R13" s="78" t="str">
        <f t="shared" ref="R13:R4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milscm_2023_010.azn_202310_backup_mt2_shisetsu_zokusei.facility_id IS '施設ID';</v>
      </c>
    </row>
    <row r="14" spans="1:45" s="25" customFormat="1" ht="37.5">
      <c r="A14" s="4"/>
      <c r="B14" s="21">
        <f t="shared" ref="B14:B43" si="2">ROW()-12</f>
        <v>2</v>
      </c>
      <c r="C14" s="6" t="s">
        <v>2536</v>
      </c>
      <c r="D14" s="6" t="s">
        <v>2537</v>
      </c>
      <c r="E14" s="8" t="s">
        <v>127</v>
      </c>
      <c r="F14" s="7" t="s">
        <v>740</v>
      </c>
      <c r="G14" s="7" t="str">
        <f t="shared" ref="G14:G44" si="3">IF(F14="フラグ","boolean",IF(F14="文字列","text",IF(F14="整数","integer",IF(F14="実数","numeric",""))))</f>
        <v>text</v>
      </c>
      <c r="H14" s="26">
        <v>999999</v>
      </c>
      <c r="I14" s="10" t="s">
        <v>127</v>
      </c>
      <c r="J14" s="11" t="s">
        <v>2564</v>
      </c>
      <c r="M14" s="4"/>
      <c r="N14" s="78"/>
      <c r="O14" s="78"/>
      <c r="P14" s="78" t="str">
        <f t="shared" ref="P14:P44" si="4">IF(B14&lt;&gt;1,","&amp;D14,D14)</f>
        <v>,kijun_ym</v>
      </c>
      <c r="Q14" s="78" t="str">
        <f t="shared" si="0"/>
        <v>TEXT</v>
      </c>
      <c r="R14" s="78" t="str">
        <f t="shared" si="1"/>
        <v>default '999999'</v>
      </c>
      <c r="S14" s="78" t="str">
        <f t="shared" ref="S14:S44" si="5">IF(I14="○","NOT NULL","")</f>
        <v>NOT NULL</v>
      </c>
      <c r="T14" s="78" t="str">
        <f t="shared" ref="T14:T44" si="6">"-- "&amp;C14</f>
        <v>-- 基準年月</v>
      </c>
      <c r="U14" s="4"/>
      <c r="AA14" s="4"/>
      <c r="AB14" s="4"/>
      <c r="AC14" s="4"/>
      <c r="AD14" s="4"/>
      <c r="AE14" s="4"/>
      <c r="AF14" s="4"/>
      <c r="AG14" s="4"/>
      <c r="AH14" s="4"/>
      <c r="AI14" s="4"/>
      <c r="AJ14" s="78" t="str">
        <f>IF(E14="○",IF(COUNTA(E$13:E14)=1,"",",")&amp;D14,"")</f>
        <v>,kijun_ym</v>
      </c>
      <c r="AK14" s="4"/>
      <c r="AL14" s="4"/>
      <c r="AM14" s="4"/>
      <c r="AN14" s="4"/>
      <c r="AO14" s="4"/>
      <c r="AP14" s="4"/>
      <c r="AQ14" s="4"/>
      <c r="AR14" s="4"/>
      <c r="AS14" s="78" t="str">
        <f>"COMMENT ON COLUMN "&amp;エンティティ一覧!$O$2&amp;"."&amp;D$8&amp;"."&amp;D14&amp;" IS '"&amp;C14&amp;"';"</f>
        <v>COMMENT ON COLUMN milscm_2023_010.azn_202310_backup_mt2_shisetsu_zokusei.kijun_ym IS '基準年月';</v>
      </c>
    </row>
    <row r="15" spans="1:45" s="25" customFormat="1">
      <c r="A15" s="4"/>
      <c r="B15" s="21">
        <f t="shared" si="2"/>
        <v>3</v>
      </c>
      <c r="C15" s="6" t="s">
        <v>2538</v>
      </c>
      <c r="D15" s="6" t="s">
        <v>2450</v>
      </c>
      <c r="E15" s="8"/>
      <c r="F15" s="7" t="s">
        <v>740</v>
      </c>
      <c r="G15" s="7" t="str">
        <f t="shared" si="3"/>
        <v>text</v>
      </c>
      <c r="H15" s="26"/>
      <c r="I15" s="10" t="s">
        <v>127</v>
      </c>
      <c r="J15" s="11" t="s">
        <v>2565</v>
      </c>
      <c r="M15" s="4"/>
      <c r="N15" s="78"/>
      <c r="O15" s="78"/>
      <c r="P15" s="78" t="str">
        <f t="shared" si="4"/>
        <v>,facility_name</v>
      </c>
      <c r="Q15" s="78" t="str">
        <f t="shared" si="0"/>
        <v>TEXT</v>
      </c>
      <c r="R15" s="78" t="str">
        <f t="shared" si="1"/>
        <v/>
      </c>
      <c r="S15" s="78" t="str">
        <f t="shared" si="5"/>
        <v>NOT NULL</v>
      </c>
      <c r="T15" s="78" t="str">
        <f t="shared" si="6"/>
        <v>-- 施設名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milscm_2023_010.azn_202310_backup_mt2_shisetsu_zokusei.facility_name IS '施設名';</v>
      </c>
    </row>
    <row r="16" spans="1:45" s="25" customFormat="1">
      <c r="A16" s="4"/>
      <c r="B16" s="21">
        <f t="shared" si="2"/>
        <v>4</v>
      </c>
      <c r="C16" s="6" t="s">
        <v>2539</v>
      </c>
      <c r="D16" s="6" t="s">
        <v>2452</v>
      </c>
      <c r="E16" s="8"/>
      <c r="F16" s="7" t="s">
        <v>740</v>
      </c>
      <c r="G16" s="7" t="str">
        <f t="shared" si="3"/>
        <v>text</v>
      </c>
      <c r="H16" s="26"/>
      <c r="I16" s="10"/>
      <c r="J16" s="11" t="s">
        <v>2565</v>
      </c>
      <c r="M16" s="4"/>
      <c r="N16" s="78"/>
      <c r="O16" s="78"/>
      <c r="P16" s="78" t="str">
        <f t="shared" si="4"/>
        <v>,opt_out_ymd</v>
      </c>
      <c r="Q16" s="78" t="str">
        <f t="shared" si="0"/>
        <v>TEXT</v>
      </c>
      <c r="R16" s="78" t="str">
        <f t="shared" si="1"/>
        <v/>
      </c>
      <c r="S16" s="78" t="str">
        <f t="shared" si="5"/>
        <v/>
      </c>
      <c r="T16" s="78" t="str">
        <f t="shared" si="6"/>
        <v>-- 通知開始年月日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milscm_2023_010.azn_202310_backup_mt2_shisetsu_zokusei.opt_out_ymd IS '通知開始年月日';</v>
      </c>
    </row>
    <row r="17" spans="1:45" s="25" customFormat="1">
      <c r="A17" s="4"/>
      <c r="B17" s="21">
        <f t="shared" si="2"/>
        <v>5</v>
      </c>
      <c r="C17" s="6" t="s">
        <v>1941</v>
      </c>
      <c r="D17" s="6" t="s">
        <v>1942</v>
      </c>
      <c r="E17" s="8"/>
      <c r="F17" s="7" t="s">
        <v>740</v>
      </c>
      <c r="G17" s="7" t="str">
        <f t="shared" si="3"/>
        <v>text</v>
      </c>
      <c r="H17" s="26"/>
      <c r="I17" s="10" t="s">
        <v>127</v>
      </c>
      <c r="J17" s="11" t="s">
        <v>2565</v>
      </c>
      <c r="M17" s="4"/>
      <c r="N17" s="78"/>
      <c r="O17" s="78"/>
      <c r="P17" s="78" t="str">
        <f t="shared" si="4"/>
        <v>,prefecture_cd</v>
      </c>
      <c r="Q17" s="78" t="str">
        <f t="shared" si="0"/>
        <v>TEXT</v>
      </c>
      <c r="R17" s="78" t="str">
        <f t="shared" si="1"/>
        <v/>
      </c>
      <c r="S17" s="78" t="str">
        <f t="shared" si="5"/>
        <v>NOT NULL</v>
      </c>
      <c r="T17" s="78" t="str">
        <f t="shared" si="6"/>
        <v>-- 都道府県コード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milscm_2023_010.azn_202310_backup_mt2_shisetsu_zokusei.prefecture_cd IS '都道府県コード';</v>
      </c>
    </row>
    <row r="18" spans="1:45" s="25" customFormat="1">
      <c r="A18" s="4"/>
      <c r="B18" s="21">
        <f t="shared" si="2"/>
        <v>6</v>
      </c>
      <c r="C18" s="6" t="s">
        <v>2540</v>
      </c>
      <c r="D18" s="6" t="s">
        <v>962</v>
      </c>
      <c r="E18" s="8"/>
      <c r="F18" s="7" t="s">
        <v>740</v>
      </c>
      <c r="G18" s="7" t="str">
        <f t="shared" ref="G18:G42" si="7">IF(F18="フラグ","boolean",IF(F18="文字列","text",IF(F18="整数","integer",IF(F18="実数","numeric",""))))</f>
        <v>text</v>
      </c>
      <c r="H18" s="26"/>
      <c r="I18" s="10" t="s">
        <v>127</v>
      </c>
      <c r="J18" s="11" t="s">
        <v>2577</v>
      </c>
      <c r="M18" s="4"/>
      <c r="N18" s="78"/>
      <c r="O18" s="78"/>
      <c r="P18" s="78" t="str">
        <f t="shared" ref="P18:P42" si="8">IF(B18&lt;&gt;1,","&amp;D18,D18)</f>
        <v>,prefecture</v>
      </c>
      <c r="Q18" s="78" t="str">
        <f t="shared" ref="Q18:Q42" si="9">UPPER(G18)</f>
        <v>TEXT</v>
      </c>
      <c r="R18" s="78" t="str">
        <f t="shared" ref="R18:R42" si="10">IF(H18&lt;&gt;"","default "&amp;IF(G18="text","'"&amp;H18&amp;"'",H18),"")</f>
        <v/>
      </c>
      <c r="S18" s="78" t="str">
        <f t="shared" ref="S18:S42" si="11">IF(I18="○","NOT NULL","")</f>
        <v>NOT NULL</v>
      </c>
      <c r="T18" s="78" t="str">
        <f t="shared" ref="T18:T42" si="12">"-- "&amp;C18</f>
        <v>-- 都道府県名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milscm_2023_010.azn_202310_backup_mt2_shisetsu_zokusei.prefecture IS '都道府県名';</v>
      </c>
    </row>
    <row r="19" spans="1:45" s="25" customFormat="1">
      <c r="A19" s="4"/>
      <c r="B19" s="21">
        <f t="shared" si="2"/>
        <v>7</v>
      </c>
      <c r="C19" s="6" t="s">
        <v>2541</v>
      </c>
      <c r="D19" s="6" t="s">
        <v>2503</v>
      </c>
      <c r="E19" s="8"/>
      <c r="F19" s="7" t="s">
        <v>740</v>
      </c>
      <c r="G19" s="7" t="str">
        <f t="shared" si="7"/>
        <v>text</v>
      </c>
      <c r="H19" s="26"/>
      <c r="I19" s="10" t="s">
        <v>127</v>
      </c>
      <c r="J19" s="11" t="s">
        <v>2577</v>
      </c>
      <c r="M19" s="4"/>
      <c r="N19" s="78"/>
      <c r="O19" s="78"/>
      <c r="P19" s="78" t="str">
        <f t="shared" si="8"/>
        <v>,region_cd</v>
      </c>
      <c r="Q19" s="78" t="str">
        <f t="shared" si="9"/>
        <v>TEXT</v>
      </c>
      <c r="R19" s="78" t="str">
        <f t="shared" si="10"/>
        <v/>
      </c>
      <c r="S19" s="78" t="str">
        <f t="shared" si="11"/>
        <v>NOT NULL</v>
      </c>
      <c r="T19" s="78" t="str">
        <f t="shared" si="12"/>
        <v>-- 地方コード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milscm_2023_010.azn_202310_backup_mt2_shisetsu_zokusei.region_cd IS '地方コード';</v>
      </c>
    </row>
    <row r="20" spans="1:45" s="25" customFormat="1">
      <c r="A20" s="4"/>
      <c r="B20" s="21">
        <f t="shared" si="2"/>
        <v>8</v>
      </c>
      <c r="C20" s="6" t="s">
        <v>2542</v>
      </c>
      <c r="D20" s="6" t="s">
        <v>2505</v>
      </c>
      <c r="E20" s="8"/>
      <c r="F20" s="7" t="s">
        <v>740</v>
      </c>
      <c r="G20" s="7" t="str">
        <f t="shared" si="7"/>
        <v>text</v>
      </c>
      <c r="H20" s="26"/>
      <c r="I20" s="10" t="s">
        <v>127</v>
      </c>
      <c r="J20" s="11" t="s">
        <v>2577</v>
      </c>
      <c r="M20" s="4"/>
      <c r="N20" s="78"/>
      <c r="O20" s="78"/>
      <c r="P20" s="78" t="str">
        <f t="shared" si="8"/>
        <v>,region</v>
      </c>
      <c r="Q20" s="78" t="str">
        <f t="shared" si="9"/>
        <v>TEXT</v>
      </c>
      <c r="R20" s="78" t="str">
        <f t="shared" si="10"/>
        <v/>
      </c>
      <c r="S20" s="78" t="str">
        <f t="shared" si="11"/>
        <v>NOT NULL</v>
      </c>
      <c r="T20" s="78" t="str">
        <f t="shared" si="12"/>
        <v>-- 地方名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milscm_2023_010.azn_202310_backup_mt2_shisetsu_zokusei.region IS '地方名';</v>
      </c>
    </row>
    <row r="21" spans="1:45" s="25" customFormat="1">
      <c r="A21" s="4"/>
      <c r="B21" s="21">
        <f t="shared" si="2"/>
        <v>9</v>
      </c>
      <c r="C21" s="6" t="s">
        <v>1944</v>
      </c>
      <c r="D21" s="6" t="s">
        <v>2543</v>
      </c>
      <c r="E21" s="8"/>
      <c r="F21" s="7" t="s">
        <v>740</v>
      </c>
      <c r="G21" s="7" t="str">
        <f t="shared" si="7"/>
        <v>text</v>
      </c>
      <c r="H21" s="26"/>
      <c r="I21" s="10" t="s">
        <v>127</v>
      </c>
      <c r="J21" s="11" t="s">
        <v>2566</v>
      </c>
      <c r="M21" s="4"/>
      <c r="N21" s="78"/>
      <c r="O21" s="78"/>
      <c r="P21" s="78" t="str">
        <f t="shared" si="8"/>
        <v>,city_cd</v>
      </c>
      <c r="Q21" s="78" t="str">
        <f t="shared" si="9"/>
        <v>TEXT</v>
      </c>
      <c r="R21" s="78" t="str">
        <f t="shared" si="10"/>
        <v/>
      </c>
      <c r="S21" s="78" t="str">
        <f t="shared" si="11"/>
        <v>NOT NULL</v>
      </c>
      <c r="T21" s="78" t="str">
        <f t="shared" si="12"/>
        <v>-- 市区町村コード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milscm_2023_010.azn_202310_backup_mt2_shisetsu_zokusei.city_cd IS '市区町村コード';</v>
      </c>
    </row>
    <row r="22" spans="1:45" s="25" customFormat="1">
      <c r="A22" s="4"/>
      <c r="B22" s="21">
        <f t="shared" si="2"/>
        <v>10</v>
      </c>
      <c r="C22" s="6" t="s">
        <v>1946</v>
      </c>
      <c r="D22" s="6" t="s">
        <v>1947</v>
      </c>
      <c r="E22" s="8"/>
      <c r="F22" s="7" t="s">
        <v>740</v>
      </c>
      <c r="G22" s="7" t="str">
        <f t="shared" si="7"/>
        <v>text</v>
      </c>
      <c r="H22" s="26"/>
      <c r="I22" s="10" t="s">
        <v>127</v>
      </c>
      <c r="J22" s="11" t="s">
        <v>2565</v>
      </c>
      <c r="M22" s="4"/>
      <c r="N22" s="78"/>
      <c r="O22" s="78"/>
      <c r="P22" s="78" t="str">
        <f t="shared" si="8"/>
        <v>,city</v>
      </c>
      <c r="Q22" s="78" t="str">
        <f t="shared" si="9"/>
        <v>TEXT</v>
      </c>
      <c r="R22" s="78" t="str">
        <f t="shared" si="10"/>
        <v/>
      </c>
      <c r="S22" s="78" t="str">
        <f t="shared" si="11"/>
        <v>NOT NULL</v>
      </c>
      <c r="T22" s="78" t="str">
        <f t="shared" si="12"/>
        <v>-- 市区町村</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milscm_2023_010.azn_202310_backup_mt2_shisetsu_zokusei.city IS '市区町村';</v>
      </c>
    </row>
    <row r="23" spans="1:45" s="25" customFormat="1">
      <c r="A23" s="4"/>
      <c r="B23" s="21">
        <f t="shared" si="2"/>
        <v>11</v>
      </c>
      <c r="C23" s="6" t="s">
        <v>2544</v>
      </c>
      <c r="D23" s="6" t="s">
        <v>2545</v>
      </c>
      <c r="E23" s="8"/>
      <c r="F23" s="7" t="s">
        <v>740</v>
      </c>
      <c r="G23" s="7" t="str">
        <f t="shared" si="7"/>
        <v>text</v>
      </c>
      <c r="H23" s="26"/>
      <c r="I23" s="10" t="s">
        <v>127</v>
      </c>
      <c r="J23" s="11" t="s">
        <v>2565</v>
      </c>
      <c r="M23" s="4"/>
      <c r="N23" s="78"/>
      <c r="O23" s="78"/>
      <c r="P23" s="78" t="str">
        <f t="shared" si="8"/>
        <v>,address</v>
      </c>
      <c r="Q23" s="78" t="str">
        <f t="shared" si="9"/>
        <v>TEXT</v>
      </c>
      <c r="R23" s="78" t="str">
        <f t="shared" si="10"/>
        <v/>
      </c>
      <c r="S23" s="78" t="str">
        <f t="shared" si="11"/>
        <v>NOT NULL</v>
      </c>
      <c r="T23" s="78" t="str">
        <f t="shared" si="12"/>
        <v>-- 住所</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milscm_2023_010.azn_202310_backup_mt2_shisetsu_zokusei.address IS '住所';</v>
      </c>
    </row>
    <row r="24" spans="1:45" s="25" customFormat="1">
      <c r="A24" s="4"/>
      <c r="B24" s="21">
        <f t="shared" si="2"/>
        <v>12</v>
      </c>
      <c r="C24" s="6" t="s">
        <v>2546</v>
      </c>
      <c r="D24" s="6" t="s">
        <v>1938</v>
      </c>
      <c r="E24" s="8"/>
      <c r="F24" s="7" t="s">
        <v>740</v>
      </c>
      <c r="G24" s="7" t="str">
        <f t="shared" si="7"/>
        <v>text</v>
      </c>
      <c r="H24" s="26"/>
      <c r="I24" s="10" t="s">
        <v>127</v>
      </c>
      <c r="J24" s="11" t="s">
        <v>2567</v>
      </c>
      <c r="M24" s="4"/>
      <c r="N24" s="78"/>
      <c r="O24" s="78"/>
      <c r="P24" s="78" t="str">
        <f t="shared" si="8"/>
        <v>,iryouken2_cd</v>
      </c>
      <c r="Q24" s="78" t="str">
        <f t="shared" si="9"/>
        <v>TEXT</v>
      </c>
      <c r="R24" s="78" t="str">
        <f t="shared" si="10"/>
        <v/>
      </c>
      <c r="S24" s="78" t="str">
        <f t="shared" si="11"/>
        <v>NOT NULL</v>
      </c>
      <c r="T24" s="78" t="str">
        <f t="shared" si="12"/>
        <v>-- 二次医療圏コード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milscm_2023_010.azn_202310_backup_mt2_shisetsu_zokusei.iryouken2_cd IS '二次医療圏コード';</v>
      </c>
    </row>
    <row r="25" spans="1:45" s="25" customFormat="1">
      <c r="A25" s="4"/>
      <c r="B25" s="21">
        <f t="shared" si="2"/>
        <v>13</v>
      </c>
      <c r="C25" s="6" t="s">
        <v>2547</v>
      </c>
      <c r="D25" s="6" t="s">
        <v>1940</v>
      </c>
      <c r="E25" s="8"/>
      <c r="F25" s="7" t="s">
        <v>740</v>
      </c>
      <c r="G25" s="7" t="str">
        <f t="shared" si="7"/>
        <v>text</v>
      </c>
      <c r="H25" s="26"/>
      <c r="I25" s="10" t="s">
        <v>127</v>
      </c>
      <c r="J25" s="11" t="s">
        <v>2567</v>
      </c>
      <c r="M25" s="4"/>
      <c r="N25" s="78"/>
      <c r="O25" s="78"/>
      <c r="P25" s="78" t="str">
        <f t="shared" si="8"/>
        <v>,iryouken2</v>
      </c>
      <c r="Q25" s="78" t="str">
        <f t="shared" si="9"/>
        <v>TEXT</v>
      </c>
      <c r="R25" s="78" t="str">
        <f t="shared" si="10"/>
        <v/>
      </c>
      <c r="S25" s="78" t="str">
        <f t="shared" si="11"/>
        <v>NOT NULL</v>
      </c>
      <c r="T25" s="78" t="str">
        <f t="shared" si="12"/>
        <v>-- 二次医療圏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milscm_2023_010.azn_202310_backup_mt2_shisetsu_zokusei.iryouken2 IS '二次医療圏';</v>
      </c>
    </row>
    <row r="26" spans="1:45" s="25" customFormat="1">
      <c r="A26" s="4"/>
      <c r="B26" s="21">
        <f t="shared" si="2"/>
        <v>14</v>
      </c>
      <c r="C26" s="6" t="s">
        <v>1901</v>
      </c>
      <c r="D26" s="6" t="s">
        <v>1902</v>
      </c>
      <c r="E26" s="8"/>
      <c r="F26" s="7" t="s">
        <v>205</v>
      </c>
      <c r="G26" s="7" t="str">
        <f t="shared" si="7"/>
        <v>integer</v>
      </c>
      <c r="H26" s="26"/>
      <c r="I26" s="10"/>
      <c r="J26" s="11" t="s">
        <v>2563</v>
      </c>
      <c r="M26" s="4"/>
      <c r="N26" s="78"/>
      <c r="O26" s="78"/>
      <c r="P26" s="78" t="str">
        <f t="shared" si="8"/>
        <v>,ippan_bed</v>
      </c>
      <c r="Q26" s="78" t="str">
        <f t="shared" si="9"/>
        <v>INTEGER</v>
      </c>
      <c r="R26" s="78" t="str">
        <f t="shared" si="10"/>
        <v/>
      </c>
      <c r="S26" s="78" t="str">
        <f t="shared" si="11"/>
        <v/>
      </c>
      <c r="T26" s="78" t="str">
        <f t="shared" si="12"/>
        <v>-- 一般病床</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milscm_2023_010.azn_202310_backup_mt2_shisetsu_zokusei.ippan_bed IS '一般病床';</v>
      </c>
    </row>
    <row r="27" spans="1:45" s="25" customFormat="1">
      <c r="A27" s="4"/>
      <c r="B27" s="21">
        <f t="shared" si="2"/>
        <v>15</v>
      </c>
      <c r="C27" s="6" t="s">
        <v>1903</v>
      </c>
      <c r="D27" s="6" t="s">
        <v>1904</v>
      </c>
      <c r="E27" s="8"/>
      <c r="F27" s="7" t="s">
        <v>205</v>
      </c>
      <c r="G27" s="7" t="str">
        <f t="shared" si="7"/>
        <v>integer</v>
      </c>
      <c r="H27" s="26"/>
      <c r="I27" s="10"/>
      <c r="J27" s="11" t="s">
        <v>2563</v>
      </c>
      <c r="M27" s="4"/>
      <c r="N27" s="78"/>
      <c r="O27" s="78"/>
      <c r="P27" s="78" t="str">
        <f t="shared" si="8"/>
        <v>,seishin_bed</v>
      </c>
      <c r="Q27" s="78" t="str">
        <f t="shared" si="9"/>
        <v>INTEGER</v>
      </c>
      <c r="R27" s="78" t="str">
        <f t="shared" si="10"/>
        <v/>
      </c>
      <c r="S27" s="78" t="str">
        <f t="shared" si="11"/>
        <v/>
      </c>
      <c r="T27" s="78" t="str">
        <f t="shared" si="12"/>
        <v>-- 精神病床</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milscm_2023_010.azn_202310_backup_mt2_shisetsu_zokusei.seishin_bed IS '精神病床';</v>
      </c>
    </row>
    <row r="28" spans="1:45" s="25" customFormat="1">
      <c r="A28" s="4"/>
      <c r="B28" s="21">
        <f t="shared" si="2"/>
        <v>16</v>
      </c>
      <c r="C28" s="6" t="s">
        <v>1905</v>
      </c>
      <c r="D28" s="6" t="s">
        <v>1906</v>
      </c>
      <c r="E28" s="8"/>
      <c r="F28" s="7" t="s">
        <v>205</v>
      </c>
      <c r="G28" s="7" t="str">
        <f t="shared" si="7"/>
        <v>integer</v>
      </c>
      <c r="H28" s="26"/>
      <c r="I28" s="10"/>
      <c r="J28" s="11" t="s">
        <v>2563</v>
      </c>
      <c r="M28" s="4"/>
      <c r="N28" s="78"/>
      <c r="O28" s="78"/>
      <c r="P28" s="78" t="str">
        <f t="shared" si="8"/>
        <v>,kansen_bed</v>
      </c>
      <c r="Q28" s="78" t="str">
        <f t="shared" si="9"/>
        <v>INTEGER</v>
      </c>
      <c r="R28" s="78" t="str">
        <f t="shared" si="10"/>
        <v/>
      </c>
      <c r="S28" s="78" t="str">
        <f t="shared" si="11"/>
        <v/>
      </c>
      <c r="T28" s="78" t="str">
        <f t="shared" si="12"/>
        <v>-- 感染症病床</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milscm_2023_010.azn_202310_backup_mt2_shisetsu_zokusei.kansen_bed IS '感染症病床';</v>
      </c>
    </row>
    <row r="29" spans="1:45" s="25" customFormat="1">
      <c r="A29" s="4"/>
      <c r="B29" s="21">
        <f t="shared" si="2"/>
        <v>17</v>
      </c>
      <c r="C29" s="6" t="s">
        <v>1907</v>
      </c>
      <c r="D29" s="6" t="s">
        <v>1908</v>
      </c>
      <c r="E29" s="8"/>
      <c r="F29" s="7" t="s">
        <v>205</v>
      </c>
      <c r="G29" s="7" t="str">
        <f t="shared" si="7"/>
        <v>integer</v>
      </c>
      <c r="H29" s="26"/>
      <c r="I29" s="10"/>
      <c r="J29" s="11" t="s">
        <v>2563</v>
      </c>
      <c r="M29" s="4"/>
      <c r="N29" s="78"/>
      <c r="O29" s="78"/>
      <c r="P29" s="78" t="str">
        <f t="shared" si="8"/>
        <v>,kekkaku_bed</v>
      </c>
      <c r="Q29" s="78" t="str">
        <f t="shared" si="9"/>
        <v>INTEGER</v>
      </c>
      <c r="R29" s="78" t="str">
        <f t="shared" si="10"/>
        <v/>
      </c>
      <c r="S29" s="78" t="str">
        <f t="shared" si="11"/>
        <v/>
      </c>
      <c r="T29" s="78" t="str">
        <f t="shared" si="12"/>
        <v>-- 結核病床</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milscm_2023_010.azn_202310_backup_mt2_shisetsu_zokusei.kekkaku_bed IS '結核病床';</v>
      </c>
    </row>
    <row r="30" spans="1:45" s="25" customFormat="1">
      <c r="A30" s="4"/>
      <c r="B30" s="21">
        <f t="shared" si="2"/>
        <v>18</v>
      </c>
      <c r="C30" s="6" t="s">
        <v>1909</v>
      </c>
      <c r="D30" s="6" t="s">
        <v>1910</v>
      </c>
      <c r="E30" s="8"/>
      <c r="F30" s="7" t="s">
        <v>205</v>
      </c>
      <c r="G30" s="7" t="str">
        <f t="shared" si="7"/>
        <v>integer</v>
      </c>
      <c r="H30" s="26"/>
      <c r="I30" s="10"/>
      <c r="J30" s="11" t="s">
        <v>2563</v>
      </c>
      <c r="M30" s="4"/>
      <c r="N30" s="78"/>
      <c r="O30" s="78"/>
      <c r="P30" s="78" t="str">
        <f t="shared" si="8"/>
        <v>,ryouyou_bed</v>
      </c>
      <c r="Q30" s="78" t="str">
        <f t="shared" si="9"/>
        <v>INTEGER</v>
      </c>
      <c r="R30" s="78" t="str">
        <f t="shared" si="10"/>
        <v/>
      </c>
      <c r="S30" s="78" t="str">
        <f t="shared" si="11"/>
        <v/>
      </c>
      <c r="T30" s="78" t="str">
        <f t="shared" si="12"/>
        <v>-- 療養病床</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milscm_2023_010.azn_202310_backup_mt2_shisetsu_zokusei.ryouyou_bed IS '療養病床';</v>
      </c>
    </row>
    <row r="31" spans="1:45" s="25" customFormat="1">
      <c r="A31" s="4"/>
      <c r="B31" s="21">
        <f t="shared" si="2"/>
        <v>19</v>
      </c>
      <c r="C31" s="6" t="s">
        <v>2548</v>
      </c>
      <c r="D31" s="6" t="s">
        <v>2549</v>
      </c>
      <c r="E31" s="8"/>
      <c r="F31" s="7" t="s">
        <v>205</v>
      </c>
      <c r="G31" s="7" t="str">
        <f t="shared" si="7"/>
        <v>integer</v>
      </c>
      <c r="H31" s="26"/>
      <c r="I31" s="10"/>
      <c r="J31" s="11" t="s">
        <v>2568</v>
      </c>
      <c r="M31" s="4"/>
      <c r="N31" s="78"/>
      <c r="O31" s="78"/>
      <c r="P31" s="78" t="str">
        <f t="shared" si="8"/>
        <v>,all_bed</v>
      </c>
      <c r="Q31" s="78" t="str">
        <f t="shared" si="9"/>
        <v>INTEGER</v>
      </c>
      <c r="R31" s="78" t="str">
        <f t="shared" si="10"/>
        <v/>
      </c>
      <c r="S31" s="78" t="str">
        <f t="shared" si="11"/>
        <v/>
      </c>
      <c r="T31" s="78" t="str">
        <f t="shared" si="12"/>
        <v>-- 総病床数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milscm_2023_010.azn_202310_backup_mt2_shisetsu_zokusei.all_bed IS '総病床数';</v>
      </c>
    </row>
    <row r="32" spans="1:45" s="25" customFormat="1">
      <c r="A32" s="4"/>
      <c r="B32" s="21">
        <f t="shared" si="2"/>
        <v>20</v>
      </c>
      <c r="C32" s="6" t="s">
        <v>1911</v>
      </c>
      <c r="D32" s="6" t="s">
        <v>1912</v>
      </c>
      <c r="E32" s="8"/>
      <c r="F32" s="7" t="s">
        <v>740</v>
      </c>
      <c r="G32" s="7" t="str">
        <f t="shared" si="7"/>
        <v>text</v>
      </c>
      <c r="H32" s="26"/>
      <c r="I32" s="10"/>
      <c r="J32" s="11" t="s">
        <v>2563</v>
      </c>
      <c r="M32" s="4"/>
      <c r="N32" s="78"/>
      <c r="O32" s="78"/>
      <c r="P32" s="78" t="str">
        <f t="shared" si="8"/>
        <v>,univ_hp_f</v>
      </c>
      <c r="Q32" s="78" t="str">
        <f t="shared" si="9"/>
        <v>TEXT</v>
      </c>
      <c r="R32" s="78" t="str">
        <f t="shared" si="10"/>
        <v/>
      </c>
      <c r="S32" s="78" t="str">
        <f t="shared" si="11"/>
        <v/>
      </c>
      <c r="T32" s="78" t="str">
        <f t="shared" si="12"/>
        <v>-- 大学病院F</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milscm_2023_010.azn_202310_backup_mt2_shisetsu_zokusei.univ_hp_f IS '大学病院F';</v>
      </c>
    </row>
    <row r="33" spans="1:52" s="25" customFormat="1">
      <c r="A33" s="4"/>
      <c r="B33" s="21">
        <f t="shared" si="2"/>
        <v>21</v>
      </c>
      <c r="C33" s="6" t="s">
        <v>1913</v>
      </c>
      <c r="D33" s="6" t="s">
        <v>1914</v>
      </c>
      <c r="E33" s="8"/>
      <c r="F33" s="7" t="s">
        <v>740</v>
      </c>
      <c r="G33" s="7" t="str">
        <f t="shared" si="7"/>
        <v>text</v>
      </c>
      <c r="H33" s="26"/>
      <c r="I33" s="10"/>
      <c r="J33" s="11" t="s">
        <v>2563</v>
      </c>
      <c r="M33" s="4"/>
      <c r="N33" s="78"/>
      <c r="O33" s="78"/>
      <c r="P33" s="78" t="str">
        <f t="shared" si="8"/>
        <v>,tokutei_hp_f</v>
      </c>
      <c r="Q33" s="78" t="str">
        <f t="shared" si="9"/>
        <v>TEXT</v>
      </c>
      <c r="R33" s="78" t="str">
        <f t="shared" si="10"/>
        <v/>
      </c>
      <c r="S33" s="78" t="str">
        <f t="shared" si="11"/>
        <v/>
      </c>
      <c r="T33" s="78" t="str">
        <f t="shared" si="12"/>
        <v>-- 特定機能病院F</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milscm_2023_010.azn_202310_backup_mt2_shisetsu_zokusei.tokutei_hp_f IS '特定機能病院F';</v>
      </c>
    </row>
    <row r="34" spans="1:52" s="25" customFormat="1" ht="112.5">
      <c r="A34" s="4"/>
      <c r="B34" s="21">
        <f t="shared" si="2"/>
        <v>22</v>
      </c>
      <c r="C34" s="6" t="s">
        <v>1915</v>
      </c>
      <c r="D34" s="6" t="s">
        <v>1916</v>
      </c>
      <c r="E34" s="8"/>
      <c r="F34" s="7" t="s">
        <v>205</v>
      </c>
      <c r="G34" s="7" t="str">
        <f t="shared" si="7"/>
        <v>integer</v>
      </c>
      <c r="H34" s="26"/>
      <c r="I34" s="10"/>
      <c r="J34" s="11" t="s">
        <v>2569</v>
      </c>
      <c r="M34" s="4"/>
      <c r="N34" s="78"/>
      <c r="O34" s="78"/>
      <c r="P34" s="78" t="str">
        <f t="shared" si="8"/>
        <v>,cancer_hp_f</v>
      </c>
      <c r="Q34" s="78" t="str">
        <f t="shared" si="9"/>
        <v>INTEGER</v>
      </c>
      <c r="R34" s="78" t="str">
        <f t="shared" si="10"/>
        <v/>
      </c>
      <c r="S34" s="78" t="str">
        <f t="shared" si="11"/>
        <v/>
      </c>
      <c r="T34" s="78" t="str">
        <f t="shared" si="12"/>
        <v>-- がん拠点病院F</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milscm_2023_010.azn_202310_backup_mt2_shisetsu_zokusei.cancer_hp_f IS 'がん拠点病院F';</v>
      </c>
    </row>
    <row r="35" spans="1:52" s="25" customFormat="1">
      <c r="A35" s="4"/>
      <c r="B35" s="21">
        <f t="shared" si="2"/>
        <v>23</v>
      </c>
      <c r="C35" s="6" t="s">
        <v>1917</v>
      </c>
      <c r="D35" s="6" t="s">
        <v>2550</v>
      </c>
      <c r="E35" s="8"/>
      <c r="F35" s="7" t="s">
        <v>740</v>
      </c>
      <c r="G35" s="7" t="str">
        <f t="shared" si="7"/>
        <v>text</v>
      </c>
      <c r="H35" s="26"/>
      <c r="I35" s="10"/>
      <c r="J35" s="11" t="s">
        <v>2563</v>
      </c>
      <c r="M35" s="4"/>
      <c r="N35" s="78"/>
      <c r="O35" s="78"/>
      <c r="P35" s="78" t="str">
        <f t="shared" si="8"/>
        <v>,high_Acute_care_hp_f</v>
      </c>
      <c r="Q35" s="78" t="str">
        <f t="shared" si="9"/>
        <v>TEXT</v>
      </c>
      <c r="R35" s="78" t="str">
        <f t="shared" si="10"/>
        <v/>
      </c>
      <c r="S35" s="78" t="str">
        <f t="shared" si="11"/>
        <v/>
      </c>
      <c r="T35" s="78" t="str">
        <f t="shared" si="12"/>
        <v>-- 高度急性期病院F</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milscm_2023_010.azn_202310_backup_mt2_shisetsu_zokusei.high_Acute_care_hp_f IS '高度急性期病院F';</v>
      </c>
    </row>
    <row r="36" spans="1:52" s="25" customFormat="1">
      <c r="A36" s="4"/>
      <c r="B36" s="21">
        <f t="shared" si="2"/>
        <v>24</v>
      </c>
      <c r="C36" s="6" t="s">
        <v>1919</v>
      </c>
      <c r="D36" s="6" t="s">
        <v>2551</v>
      </c>
      <c r="E36" s="8"/>
      <c r="F36" s="7" t="s">
        <v>740</v>
      </c>
      <c r="G36" s="7" t="str">
        <f t="shared" si="7"/>
        <v>text</v>
      </c>
      <c r="H36" s="26"/>
      <c r="I36" s="10"/>
      <c r="J36" s="11" t="s">
        <v>2563</v>
      </c>
      <c r="M36" s="4"/>
      <c r="N36" s="78"/>
      <c r="O36" s="78"/>
      <c r="P36" s="78" t="str">
        <f t="shared" si="8"/>
        <v>,Acute_care_hp_f</v>
      </c>
      <c r="Q36" s="78" t="str">
        <f t="shared" si="9"/>
        <v>TEXT</v>
      </c>
      <c r="R36" s="78" t="str">
        <f t="shared" si="10"/>
        <v/>
      </c>
      <c r="S36" s="78" t="str">
        <f t="shared" si="11"/>
        <v/>
      </c>
      <c r="T36" s="78" t="str">
        <f t="shared" si="12"/>
        <v>-- 急性期病院F</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milscm_2023_010.azn_202310_backup_mt2_shisetsu_zokusei.Acute_care_hp_f IS '急性期病院F';</v>
      </c>
    </row>
    <row r="37" spans="1:52" s="25" customFormat="1">
      <c r="A37" s="4"/>
      <c r="B37" s="21">
        <f t="shared" si="2"/>
        <v>25</v>
      </c>
      <c r="C37" s="6" t="s">
        <v>1921</v>
      </c>
      <c r="D37" s="6" t="s">
        <v>1922</v>
      </c>
      <c r="E37" s="8"/>
      <c r="F37" s="7" t="s">
        <v>740</v>
      </c>
      <c r="G37" s="7" t="str">
        <f t="shared" si="7"/>
        <v>text</v>
      </c>
      <c r="H37" s="26"/>
      <c r="I37" s="10"/>
      <c r="J37" s="11" t="s">
        <v>1934</v>
      </c>
      <c r="M37" s="4"/>
      <c r="N37" s="78"/>
      <c r="O37" s="78"/>
      <c r="P37" s="78" t="str">
        <f t="shared" si="8"/>
        <v>,mil_exit_f</v>
      </c>
      <c r="Q37" s="78" t="str">
        <f t="shared" si="9"/>
        <v>TEXT</v>
      </c>
      <c r="R37" s="78" t="str">
        <f t="shared" si="10"/>
        <v/>
      </c>
      <c r="S37" s="78" t="str">
        <f t="shared" si="11"/>
        <v/>
      </c>
      <c r="T37" s="78" t="str">
        <f t="shared" si="12"/>
        <v>-- 千年カルテ離脱施設フラグ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milscm_2023_010.azn_202310_backup_mt2_shisetsu_zokusei.mil_exit_f IS '千年カルテ離脱施設フラグ';</v>
      </c>
    </row>
    <row r="38" spans="1:52" s="25" customFormat="1">
      <c r="A38" s="4"/>
      <c r="B38" s="21">
        <f t="shared" si="2"/>
        <v>26</v>
      </c>
      <c r="C38" s="6" t="s">
        <v>2552</v>
      </c>
      <c r="D38" s="6" t="s">
        <v>2553</v>
      </c>
      <c r="E38" s="8"/>
      <c r="F38" s="7" t="s">
        <v>740</v>
      </c>
      <c r="G38" s="7" t="str">
        <f t="shared" si="7"/>
        <v>text</v>
      </c>
      <c r="H38" s="26">
        <v>0</v>
      </c>
      <c r="I38" s="10" t="s">
        <v>127</v>
      </c>
      <c r="J38" s="11" t="s">
        <v>2570</v>
      </c>
      <c r="M38" s="4"/>
      <c r="N38" s="78"/>
      <c r="O38" s="78"/>
      <c r="P38" s="78" t="str">
        <f t="shared" si="8"/>
        <v>,new_f</v>
      </c>
      <c r="Q38" s="78" t="str">
        <f t="shared" si="9"/>
        <v>TEXT</v>
      </c>
      <c r="R38" s="78" t="str">
        <f t="shared" si="10"/>
        <v>default '0'</v>
      </c>
      <c r="S38" s="78" t="str">
        <f t="shared" si="11"/>
        <v>NOT NULL</v>
      </c>
      <c r="T38" s="78" t="str">
        <f t="shared" si="12"/>
        <v>-- 最新フラグ</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milscm_2023_010.azn_202310_backup_mt2_shisetsu_zokusei.new_f IS '最新フラグ';</v>
      </c>
    </row>
    <row r="39" spans="1:52" s="25" customFormat="1">
      <c r="A39" s="4"/>
      <c r="B39" s="21">
        <f t="shared" si="2"/>
        <v>27</v>
      </c>
      <c r="C39" s="6" t="s">
        <v>2554</v>
      </c>
      <c r="D39" s="6" t="s">
        <v>1949</v>
      </c>
      <c r="E39" s="8"/>
      <c r="F39" s="7" t="s">
        <v>740</v>
      </c>
      <c r="G39" s="7" t="str">
        <f t="shared" si="7"/>
        <v>text</v>
      </c>
      <c r="H39" s="26">
        <v>0</v>
      </c>
      <c r="I39" s="10" t="s">
        <v>127</v>
      </c>
      <c r="J39" s="11" t="s">
        <v>2571</v>
      </c>
      <c r="M39" s="4"/>
      <c r="N39" s="78"/>
      <c r="O39" s="78"/>
      <c r="P39" s="78" t="str">
        <f t="shared" si="8"/>
        <v>,del_f</v>
      </c>
      <c r="Q39" s="78" t="str">
        <f t="shared" si="9"/>
        <v>TEXT</v>
      </c>
      <c r="R39" s="78" t="str">
        <f t="shared" si="10"/>
        <v>default '0'</v>
      </c>
      <c r="S39" s="78" t="str">
        <f t="shared" si="11"/>
        <v>NOT NULL</v>
      </c>
      <c r="T39" s="78" t="str">
        <f t="shared" si="12"/>
        <v>-- 削除フラグ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milscm_2023_010.azn_202310_backup_mt2_shisetsu_zokusei.del_f IS '削除フラグ';</v>
      </c>
    </row>
    <row r="40" spans="1:52" s="25" customFormat="1" ht="37.5">
      <c r="A40" s="4"/>
      <c r="B40" s="21">
        <f t="shared" si="2"/>
        <v>28</v>
      </c>
      <c r="C40" s="6" t="s">
        <v>1952</v>
      </c>
      <c r="D40" s="6" t="s">
        <v>1953</v>
      </c>
      <c r="E40" s="8"/>
      <c r="F40" s="7" t="s">
        <v>740</v>
      </c>
      <c r="G40" s="7" t="str">
        <f t="shared" si="7"/>
        <v>text</v>
      </c>
      <c r="H40" s="26">
        <v>99999999</v>
      </c>
      <c r="I40" s="10" t="s">
        <v>127</v>
      </c>
      <c r="J40" s="11" t="s">
        <v>2572</v>
      </c>
      <c r="M40" s="4"/>
      <c r="N40" s="78"/>
      <c r="O40" s="78"/>
      <c r="P40" s="78" t="str">
        <f t="shared" si="8"/>
        <v>,del_ymd</v>
      </c>
      <c r="Q40" s="78" t="str">
        <f t="shared" si="9"/>
        <v>TEXT</v>
      </c>
      <c r="R40" s="78" t="str">
        <f t="shared" si="10"/>
        <v>default '99999999'</v>
      </c>
      <c r="S40" s="78" t="str">
        <f t="shared" si="11"/>
        <v>NOT NULL</v>
      </c>
      <c r="T40" s="78" t="str">
        <f t="shared" si="12"/>
        <v>-- 廃止年月日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milscm_2023_010.azn_202310_backup_mt2_shisetsu_zokusei.del_ymd IS '廃止年月日';</v>
      </c>
    </row>
    <row r="41" spans="1:52" s="25" customFormat="1" ht="56.25">
      <c r="A41" s="4"/>
      <c r="B41" s="21">
        <f t="shared" si="2"/>
        <v>29</v>
      </c>
      <c r="C41" s="6" t="s">
        <v>2555</v>
      </c>
      <c r="D41" s="6" t="s">
        <v>2556</v>
      </c>
      <c r="E41" s="8"/>
      <c r="F41" s="7" t="s">
        <v>740</v>
      </c>
      <c r="G41" s="7" t="str">
        <f t="shared" si="7"/>
        <v>text</v>
      </c>
      <c r="H41" s="26">
        <v>99999999</v>
      </c>
      <c r="I41" s="10" t="s">
        <v>127</v>
      </c>
      <c r="J41" s="11" t="s">
        <v>2573</v>
      </c>
      <c r="M41" s="4"/>
      <c r="N41" s="78"/>
      <c r="O41" s="78"/>
      <c r="P41" s="78" t="str">
        <f t="shared" si="8"/>
        <v>,shisetsu_update_ymd</v>
      </c>
      <c r="Q41" s="78" t="str">
        <f t="shared" si="9"/>
        <v>TEXT</v>
      </c>
      <c r="R41" s="78" t="str">
        <f t="shared" si="10"/>
        <v>default '99999999'</v>
      </c>
      <c r="S41" s="78" t="str">
        <f t="shared" si="11"/>
        <v>NOT NULL</v>
      </c>
      <c r="T41" s="78" t="str">
        <f t="shared" si="12"/>
        <v>-- 施設マスタデータ登録日</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milscm_2023_010.azn_202310_backup_mt2_shisetsu_zokusei.shisetsu_update_ymd IS '施設マスタデータ登録日';</v>
      </c>
    </row>
    <row r="42" spans="1:52" s="25" customFormat="1" ht="56.25">
      <c r="A42" s="4"/>
      <c r="B42" s="21">
        <f t="shared" si="2"/>
        <v>30</v>
      </c>
      <c r="C42" s="6" t="s">
        <v>2557</v>
      </c>
      <c r="D42" s="6" t="s">
        <v>2558</v>
      </c>
      <c r="E42" s="8"/>
      <c r="F42" s="7" t="s">
        <v>740</v>
      </c>
      <c r="G42" s="7" t="str">
        <f t="shared" si="7"/>
        <v>text</v>
      </c>
      <c r="H42" s="26"/>
      <c r="I42" s="10"/>
      <c r="J42" s="11" t="s">
        <v>2574</v>
      </c>
      <c r="M42" s="4"/>
      <c r="N42" s="78"/>
      <c r="O42" s="78"/>
      <c r="P42" s="78" t="str">
        <f t="shared" si="8"/>
        <v>,zokusei_update_ymd</v>
      </c>
      <c r="Q42" s="78" t="str">
        <f t="shared" si="9"/>
        <v>TEXT</v>
      </c>
      <c r="R42" s="78" t="str">
        <f t="shared" si="10"/>
        <v/>
      </c>
      <c r="S42" s="78" t="str">
        <f t="shared" si="11"/>
        <v/>
      </c>
      <c r="T42" s="78" t="str">
        <f t="shared" si="12"/>
        <v>-- 施設属性マスタ取込用データ登録日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milscm_2023_010.azn_202310_backup_mt2_shisetsu_zokusei.zokusei_update_ymd IS '施設属性マスタ取込用データ登録日';</v>
      </c>
    </row>
    <row r="43" spans="1:52" s="25" customFormat="1" ht="56.25">
      <c r="A43" s="4"/>
      <c r="B43" s="21">
        <f t="shared" si="2"/>
        <v>31</v>
      </c>
      <c r="C43" s="6" t="s">
        <v>2559</v>
      </c>
      <c r="D43" s="6" t="s">
        <v>2560</v>
      </c>
      <c r="E43" s="8"/>
      <c r="F43" s="7" t="s">
        <v>740</v>
      </c>
      <c r="G43" s="7" t="str">
        <f t="shared" si="3"/>
        <v>text</v>
      </c>
      <c r="H43" s="26"/>
      <c r="I43" s="10"/>
      <c r="J43" s="11" t="s">
        <v>2575</v>
      </c>
      <c r="M43" s="4"/>
      <c r="N43" s="78"/>
      <c r="O43" s="78"/>
      <c r="P43" s="78" t="str">
        <f t="shared" si="4"/>
        <v>,zokusei_torikomi_kijun_ym</v>
      </c>
      <c r="Q43" s="78" t="str">
        <f t="shared" si="0"/>
        <v>TEXT</v>
      </c>
      <c r="R43" s="78" t="str">
        <f t="shared" si="1"/>
        <v/>
      </c>
      <c r="S43" s="78" t="str">
        <f t="shared" si="5"/>
        <v/>
      </c>
      <c r="T43" s="78" t="str">
        <f t="shared" si="6"/>
        <v>-- 施設属性マスタ取込用取込基準年月</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milscm_2023_010.azn_202310_backup_mt2_shisetsu_zokusei.zokusei_torikomi_kijun_ym IS '施設属性マスタ取込用取込基準年月';</v>
      </c>
    </row>
    <row r="44" spans="1:52" s="25" customFormat="1" ht="169.5" thickBot="1">
      <c r="A44" s="4"/>
      <c r="B44" s="27">
        <f>ROW()-12</f>
        <v>32</v>
      </c>
      <c r="C44" s="57" t="s">
        <v>2561</v>
      </c>
      <c r="D44" s="57" t="s">
        <v>2562</v>
      </c>
      <c r="E44" s="56"/>
      <c r="F44" s="56" t="s">
        <v>740</v>
      </c>
      <c r="G44" s="56" t="str">
        <f t="shared" si="3"/>
        <v>text</v>
      </c>
      <c r="H44" s="59">
        <v>0</v>
      </c>
      <c r="I44" s="60" t="s">
        <v>127</v>
      </c>
      <c r="J44" s="64" t="s">
        <v>2576</v>
      </c>
      <c r="N44" s="78"/>
      <c r="O44" s="78"/>
      <c r="P44" s="78" t="str">
        <f t="shared" si="4"/>
        <v>,mainte_f</v>
      </c>
      <c r="Q44" s="78" t="str">
        <f t="shared" si="0"/>
        <v>TEXT</v>
      </c>
      <c r="R44" s="78" t="str">
        <f t="shared" si="1"/>
        <v>default '0'</v>
      </c>
      <c r="S44" s="78" t="str">
        <f t="shared" si="5"/>
        <v>NOT NULL</v>
      </c>
      <c r="T44" s="78" t="str">
        <f t="shared" si="6"/>
        <v>-- メンテナンスフラグ</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milscm_2023_010.azn_202310_backup_mt2_shisetsu_zokusei.mainte_f IS 'メンテナンスフラグ';</v>
      </c>
    </row>
    <row r="45" spans="1:52">
      <c r="L45" s="25"/>
      <c r="M45" s="25"/>
      <c r="N45" s="78" t="s">
        <v>142</v>
      </c>
      <c r="O45" s="78"/>
      <c r="P45" s="78"/>
      <c r="Q45" s="78"/>
      <c r="R45" s="78"/>
      <c r="S45" s="78"/>
      <c r="T45" s="78"/>
      <c r="V45" s="25"/>
      <c r="W45" s="25"/>
      <c r="X45" s="25"/>
      <c r="Y45" s="25"/>
      <c r="Z45" s="25"/>
      <c r="AJ45" s="78"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A00-000000000000}"/>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Z4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ENT_01_A4-04</v>
      </c>
      <c r="E6" s="239"/>
      <c r="F6" s="239"/>
      <c r="G6" s="239"/>
      <c r="H6" s="239"/>
      <c r="I6" s="239"/>
      <c r="J6" s="240"/>
    </row>
    <row r="7" spans="1:45">
      <c r="B7" s="228" t="s">
        <v>115</v>
      </c>
      <c r="C7" s="229"/>
      <c r="D7" s="230" t="s">
        <v>2578</v>
      </c>
      <c r="E7" s="231"/>
      <c r="F7" s="231"/>
      <c r="G7" s="231"/>
      <c r="H7" s="231"/>
      <c r="I7" s="231"/>
      <c r="J7" s="232"/>
    </row>
    <row r="8" spans="1:45">
      <c r="B8" s="228" t="s">
        <v>116</v>
      </c>
      <c r="C8" s="229"/>
      <c r="D8" s="230" t="str">
        <f>エンティティ一覧!AE2&amp;"_"&amp;D5&amp;"_mt2_iryouken2"</f>
        <v>azn_202310_backup_mt2_iryouken2</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二次医療圏マスタテーブルから組入れ条件の第一条件で絞り込んだ結果を格納するテーブル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milscm_2023_010.azn_202310_backup_mt2_iryouken2;</v>
      </c>
      <c r="O10" s="78"/>
      <c r="P10" s="78"/>
      <c r="Q10" s="78"/>
      <c r="R10" s="78"/>
      <c r="S10" s="78"/>
      <c r="T10" s="78"/>
      <c r="AJ10" s="78" t="str">
        <f>"ALTER TABLE ONLY "&amp;エンティティ一覧!$O$2&amp;"."&amp;D$8</f>
        <v>ALTER TABLE ONLY milscm_2023_010.azn_202310_backup_mt2_iryouken2</v>
      </c>
      <c r="AS10" s="78" t="str">
        <f>"ALTER TABLE "&amp;エンティティ一覧!$O$2&amp;"."&amp;D$8&amp;" OWNER TO pgmisgrp1;"</f>
        <v>ALTER TABLE milscm_2023_010.azn_202310_backup_mt2_iryouken2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milscm_2023_010.azn_202310_backup_mt2_iryouken2</v>
      </c>
      <c r="O11" s="78"/>
      <c r="P11" s="78"/>
      <c r="Q11" s="78"/>
      <c r="R11" s="78"/>
      <c r="S11" s="78"/>
      <c r="T11" s="78"/>
      <c r="AJ11" s="78" t="str">
        <f>"ADD CONSTRAINT "&amp;D$8&amp;"_pkey PRIMARY KEY"</f>
        <v>ADD CONSTRAINT azn_202310_backup_mt2_iryouken2_pkey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milscm_2023_010.azn_202310_backup_mt2_iryouken2 IS 'バックアップ_二次医療圏マスタ';</v>
      </c>
    </row>
    <row r="13" spans="1:45" s="25" customFormat="1" ht="56.25">
      <c r="A13" s="4"/>
      <c r="B13" s="21">
        <f>ROW()-12</f>
        <v>1</v>
      </c>
      <c r="C13" s="6" t="s">
        <v>2546</v>
      </c>
      <c r="D13" s="6" t="s">
        <v>1938</v>
      </c>
      <c r="E13" s="8"/>
      <c r="F13" s="8" t="s">
        <v>740</v>
      </c>
      <c r="G13" s="7" t="str">
        <f>IF(F13="フラグ","boolean",IF(F13="文字列","text",IF(F13="整数","integer",IF(F13="実数","numeric",""))))</f>
        <v>text</v>
      </c>
      <c r="H13" s="9"/>
      <c r="I13" s="10" t="s">
        <v>127</v>
      </c>
      <c r="J13" s="11" t="s">
        <v>2580</v>
      </c>
      <c r="M13" s="4"/>
      <c r="N13" s="78"/>
      <c r="O13" s="78"/>
      <c r="P13" s="78" t="str">
        <f>IF(B13&lt;&gt;1,","&amp;D13,D13)</f>
        <v>iryouken2_cd</v>
      </c>
      <c r="Q13" s="78" t="str">
        <f t="shared" ref="Q13:Q20" si="0">UPPER(G13)</f>
        <v>TEXT</v>
      </c>
      <c r="R13" s="78" t="str">
        <f t="shared" ref="R13:R20" si="1">IF(H13&lt;&gt;"","default "&amp;IF(G13="text","'"&amp;H13&amp;"'",H13),"")</f>
        <v/>
      </c>
      <c r="S13" s="78" t="str">
        <f>IF(I13="○","NOT NULL","")</f>
        <v>NOT NULL</v>
      </c>
      <c r="T13" s="78" t="str">
        <f>"-- "&amp;C13</f>
        <v>-- 二次医療圏コード</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milscm_2023_010.azn_202310_backup_mt2_iryouken2.iryouken2_cd IS '二次医療圏コード';</v>
      </c>
    </row>
    <row r="14" spans="1:45" s="25" customFormat="1" ht="56.25">
      <c r="A14" s="4"/>
      <c r="B14" s="21">
        <f t="shared" ref="B14:B19" si="2">ROW()-12</f>
        <v>2</v>
      </c>
      <c r="C14" s="6" t="s">
        <v>2547</v>
      </c>
      <c r="D14" s="6" t="s">
        <v>1940</v>
      </c>
      <c r="E14" s="8"/>
      <c r="F14" s="7" t="s">
        <v>740</v>
      </c>
      <c r="G14" s="7" t="str">
        <f t="shared" ref="G14:G20" si="3">IF(F14="フラグ","boolean",IF(F14="文字列","text",IF(F14="整数","integer",IF(F14="実数","numeric",""))))</f>
        <v>text</v>
      </c>
      <c r="H14" s="26"/>
      <c r="I14" s="10" t="s">
        <v>127</v>
      </c>
      <c r="J14" s="11" t="s">
        <v>2580</v>
      </c>
      <c r="M14" s="4"/>
      <c r="N14" s="78"/>
      <c r="O14" s="78"/>
      <c r="P14" s="78" t="str">
        <f t="shared" ref="P14:P20" si="4">IF(B14&lt;&gt;1,","&amp;D14,D14)</f>
        <v>,iryouken2</v>
      </c>
      <c r="Q14" s="78" t="str">
        <f t="shared" si="0"/>
        <v>TEXT</v>
      </c>
      <c r="R14" s="78" t="str">
        <f t="shared" si="1"/>
        <v/>
      </c>
      <c r="S14" s="78" t="str">
        <f t="shared" ref="S14:S20" si="5">IF(I14="○","NOT NULL","")</f>
        <v>NOT NULL</v>
      </c>
      <c r="T14" s="78" t="str">
        <f t="shared" ref="T14:T20" si="6">"-- "&amp;C14</f>
        <v>-- 二次医療圏</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milscm_2023_010.azn_202310_backup_mt2_iryouken2.iryouken2 IS '二次医療圏';</v>
      </c>
    </row>
    <row r="15" spans="1:45" s="25" customFormat="1" ht="56.25">
      <c r="A15" s="4"/>
      <c r="B15" s="21">
        <f t="shared" si="2"/>
        <v>3</v>
      </c>
      <c r="C15" s="6" t="s">
        <v>1941</v>
      </c>
      <c r="D15" s="6" t="s">
        <v>1942</v>
      </c>
      <c r="E15" s="8"/>
      <c r="F15" s="7" t="s">
        <v>740</v>
      </c>
      <c r="G15" s="7" t="str">
        <f t="shared" si="3"/>
        <v>text</v>
      </c>
      <c r="H15" s="26"/>
      <c r="I15" s="10" t="s">
        <v>127</v>
      </c>
      <c r="J15" s="11" t="s">
        <v>2580</v>
      </c>
      <c r="M15" s="4"/>
      <c r="N15" s="78"/>
      <c r="O15" s="78"/>
      <c r="P15" s="78" t="str">
        <f t="shared" si="4"/>
        <v>,prefecture_cd</v>
      </c>
      <c r="Q15" s="78" t="str">
        <f t="shared" si="0"/>
        <v>TEXT</v>
      </c>
      <c r="R15" s="78" t="str">
        <f t="shared" si="1"/>
        <v/>
      </c>
      <c r="S15" s="78" t="str">
        <f t="shared" si="5"/>
        <v>NOT NULL</v>
      </c>
      <c r="T15" s="78" t="str">
        <f t="shared" si="6"/>
        <v>-- 都道府県コード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milscm_2023_010.azn_202310_backup_mt2_iryouken2.prefecture_cd IS '都道府県コード';</v>
      </c>
    </row>
    <row r="16" spans="1:45" s="25" customFormat="1" ht="56.25">
      <c r="A16" s="4"/>
      <c r="B16" s="21">
        <f t="shared" si="2"/>
        <v>4</v>
      </c>
      <c r="C16" s="6" t="s">
        <v>1944</v>
      </c>
      <c r="D16" s="6" t="s">
        <v>1945</v>
      </c>
      <c r="E16" s="8" t="s">
        <v>127</v>
      </c>
      <c r="F16" s="7" t="s">
        <v>740</v>
      </c>
      <c r="G16" s="7" t="str">
        <f t="shared" si="3"/>
        <v>text</v>
      </c>
      <c r="H16" s="26"/>
      <c r="I16" s="10" t="s">
        <v>127</v>
      </c>
      <c r="J16" s="11" t="s">
        <v>2580</v>
      </c>
      <c r="M16" s="4"/>
      <c r="N16" s="78"/>
      <c r="O16" s="78"/>
      <c r="P16" s="78" t="str">
        <f t="shared" si="4"/>
        <v>,city_code</v>
      </c>
      <c r="Q16" s="78" t="str">
        <f t="shared" si="0"/>
        <v>TEXT</v>
      </c>
      <c r="R16" s="78" t="str">
        <f t="shared" si="1"/>
        <v/>
      </c>
      <c r="S16" s="78" t="str">
        <f t="shared" si="5"/>
        <v>NOT NULL</v>
      </c>
      <c r="T16" s="78" t="str">
        <f t="shared" si="6"/>
        <v>-- 市区町村コード</v>
      </c>
      <c r="U16" s="4"/>
      <c r="AA16" s="4"/>
      <c r="AB16" s="4"/>
      <c r="AC16" s="4"/>
      <c r="AD16" s="4"/>
      <c r="AE16" s="4"/>
      <c r="AF16" s="4"/>
      <c r="AG16" s="4"/>
      <c r="AH16" s="4"/>
      <c r="AI16" s="4"/>
      <c r="AJ16" s="78" t="str">
        <f>IF(E16="○",IF(COUNTA(E$13:E16)=1,"",",")&amp;D16,"")</f>
        <v>city_code</v>
      </c>
      <c r="AK16" s="4"/>
      <c r="AL16" s="4"/>
      <c r="AM16" s="4"/>
      <c r="AN16" s="4"/>
      <c r="AO16" s="4"/>
      <c r="AP16" s="4"/>
      <c r="AQ16" s="4"/>
      <c r="AR16" s="4"/>
      <c r="AS16" s="78" t="str">
        <f>"COMMENT ON COLUMN "&amp;エンティティ一覧!$O$2&amp;"."&amp;D$8&amp;"."&amp;D16&amp;" IS '"&amp;C16&amp;"';"</f>
        <v>COMMENT ON COLUMN milscm_2023_010.azn_202310_backup_mt2_iryouken2.city_code IS '市区町村コード';</v>
      </c>
    </row>
    <row r="17" spans="1:52" s="25" customFormat="1">
      <c r="A17" s="4"/>
      <c r="B17" s="21">
        <f t="shared" si="2"/>
        <v>5</v>
      </c>
      <c r="C17" s="6" t="s">
        <v>2552</v>
      </c>
      <c r="D17" s="6" t="s">
        <v>2553</v>
      </c>
      <c r="E17" s="8"/>
      <c r="F17" s="7" t="s">
        <v>740</v>
      </c>
      <c r="G17" s="7" t="str">
        <f t="shared" si="3"/>
        <v>text</v>
      </c>
      <c r="H17" s="26">
        <v>0</v>
      </c>
      <c r="I17" s="10" t="s">
        <v>127</v>
      </c>
      <c r="J17" s="11"/>
      <c r="M17" s="4"/>
      <c r="N17" s="78"/>
      <c r="O17" s="78"/>
      <c r="P17" s="78" t="str">
        <f t="shared" si="4"/>
        <v>,new_f</v>
      </c>
      <c r="Q17" s="78" t="str">
        <f t="shared" si="0"/>
        <v>TEXT</v>
      </c>
      <c r="R17" s="78" t="str">
        <f t="shared" si="1"/>
        <v>default '0'</v>
      </c>
      <c r="S17" s="78" t="str">
        <f t="shared" si="5"/>
        <v>NOT NULL</v>
      </c>
      <c r="T17" s="78" t="str">
        <f t="shared" si="6"/>
        <v>-- 最新フラグ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milscm_2023_010.azn_202310_backup_mt2_iryouken2.new_f IS '最新フラグ';</v>
      </c>
    </row>
    <row r="18" spans="1:52" s="25" customFormat="1">
      <c r="A18" s="4"/>
      <c r="B18" s="21">
        <f t="shared" si="2"/>
        <v>6</v>
      </c>
      <c r="C18" s="6" t="s">
        <v>2579</v>
      </c>
      <c r="D18" s="6" t="s">
        <v>1949</v>
      </c>
      <c r="E18" s="8"/>
      <c r="F18" s="7" t="s">
        <v>740</v>
      </c>
      <c r="G18" s="7" t="str">
        <f t="shared" ref="G18" si="7">IF(F18="フラグ","boolean",IF(F18="文字列","text",IF(F18="整数","integer",IF(F18="実数","numeric",""))))</f>
        <v>text</v>
      </c>
      <c r="H18" s="26">
        <v>0</v>
      </c>
      <c r="I18" s="10" t="s">
        <v>127</v>
      </c>
      <c r="J18" s="11"/>
      <c r="M18" s="4"/>
      <c r="N18" s="78"/>
      <c r="O18" s="78"/>
      <c r="P18" s="78" t="str">
        <f t="shared" ref="P18" si="8">IF(B18&lt;&gt;1,","&amp;D18,D18)</f>
        <v>,del_f</v>
      </c>
      <c r="Q18" s="78" t="str">
        <f t="shared" ref="Q18" si="9">UPPER(G18)</f>
        <v>TEXT</v>
      </c>
      <c r="R18" s="78" t="str">
        <f t="shared" ref="R18" si="10">IF(H18&lt;&gt;"","default "&amp;IF(G18="text","'"&amp;H18&amp;"'",H18),"")</f>
        <v>default '0'</v>
      </c>
      <c r="S18" s="78" t="str">
        <f t="shared" ref="S18" si="11">IF(I18="○","NOT NULL","")</f>
        <v>NOT NULL</v>
      </c>
      <c r="T18" s="78" t="str">
        <f t="shared" ref="T18" si="12">"-- "&amp;C18</f>
        <v>-- 削除フラグ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milscm_2023_010.azn_202310_backup_mt2_iryouken2.del_f IS '削除フラグ';</v>
      </c>
    </row>
    <row r="19" spans="1:52" s="25" customFormat="1" ht="37.5">
      <c r="A19" s="4"/>
      <c r="B19" s="21">
        <f t="shared" si="2"/>
        <v>7</v>
      </c>
      <c r="C19" s="6" t="s">
        <v>2012</v>
      </c>
      <c r="D19" s="6" t="s">
        <v>1951</v>
      </c>
      <c r="E19" s="8" t="s">
        <v>127</v>
      </c>
      <c r="F19" s="7" t="s">
        <v>740</v>
      </c>
      <c r="G19" s="7" t="str">
        <f t="shared" si="3"/>
        <v>text</v>
      </c>
      <c r="H19" s="26">
        <v>99999999</v>
      </c>
      <c r="I19" s="10" t="s">
        <v>127</v>
      </c>
      <c r="J19" s="11" t="s">
        <v>2581</v>
      </c>
      <c r="M19" s="4"/>
      <c r="N19" s="78"/>
      <c r="O19" s="78"/>
      <c r="P19" s="78" t="str">
        <f t="shared" si="4"/>
        <v>,henkou_ymd</v>
      </c>
      <c r="Q19" s="78" t="str">
        <f t="shared" si="0"/>
        <v>TEXT</v>
      </c>
      <c r="R19" s="78" t="str">
        <f t="shared" si="1"/>
        <v>default '99999999'</v>
      </c>
      <c r="S19" s="78" t="str">
        <f t="shared" si="5"/>
        <v>NOT NULL</v>
      </c>
      <c r="T19" s="78" t="str">
        <f t="shared" si="6"/>
        <v>-- 変更年月日</v>
      </c>
      <c r="U19" s="4"/>
      <c r="AA19" s="4"/>
      <c r="AB19" s="4"/>
      <c r="AC19" s="4"/>
      <c r="AD19" s="4"/>
      <c r="AE19" s="4"/>
      <c r="AF19" s="4"/>
      <c r="AG19" s="4"/>
      <c r="AH19" s="4"/>
      <c r="AI19" s="4"/>
      <c r="AJ19" s="78" t="str">
        <f>IF(E19="○",IF(COUNTA(E$13:E19)=1,"",",")&amp;D19,"")</f>
        <v>,henkou_ymd</v>
      </c>
      <c r="AK19" s="4"/>
      <c r="AL19" s="4"/>
      <c r="AM19" s="4"/>
      <c r="AN19" s="4"/>
      <c r="AO19" s="4"/>
      <c r="AP19" s="4"/>
      <c r="AQ19" s="4"/>
      <c r="AR19" s="4"/>
      <c r="AS19" s="78" t="str">
        <f>"COMMENT ON COLUMN "&amp;エンティティ一覧!$O$2&amp;"."&amp;D$8&amp;"."&amp;D19&amp;" IS '"&amp;C19&amp;"';"</f>
        <v>COMMENT ON COLUMN milscm_2023_010.azn_202310_backup_mt2_iryouken2.henkou_ymd IS '変更年月日';</v>
      </c>
    </row>
    <row r="20" spans="1:52" s="25" customFormat="1" ht="38.25" thickBot="1">
      <c r="A20" s="4"/>
      <c r="B20" s="27">
        <f>ROW()-12</f>
        <v>8</v>
      </c>
      <c r="C20" s="57" t="s">
        <v>1952</v>
      </c>
      <c r="D20" s="57" t="s">
        <v>1953</v>
      </c>
      <c r="E20" s="56" t="s">
        <v>127</v>
      </c>
      <c r="F20" s="56" t="s">
        <v>740</v>
      </c>
      <c r="G20" s="56" t="str">
        <f t="shared" si="3"/>
        <v>text</v>
      </c>
      <c r="H20" s="59">
        <v>99999999</v>
      </c>
      <c r="I20" s="60" t="s">
        <v>127</v>
      </c>
      <c r="J20" s="64" t="s">
        <v>2582</v>
      </c>
      <c r="N20" s="78"/>
      <c r="O20" s="78"/>
      <c r="P20" s="78" t="str">
        <f t="shared" si="4"/>
        <v>,del_ymd</v>
      </c>
      <c r="Q20" s="78" t="str">
        <f t="shared" si="0"/>
        <v>TEXT</v>
      </c>
      <c r="R20" s="78" t="str">
        <f t="shared" si="1"/>
        <v>default '99999999'</v>
      </c>
      <c r="S20" s="78" t="str">
        <f t="shared" si="5"/>
        <v>NOT NULL</v>
      </c>
      <c r="T20" s="78" t="str">
        <f t="shared" si="6"/>
        <v>-- 廃止年月日</v>
      </c>
      <c r="U20" s="4"/>
      <c r="AA20" s="4"/>
      <c r="AB20" s="4"/>
      <c r="AC20" s="4"/>
      <c r="AD20" s="4"/>
      <c r="AE20" s="4"/>
      <c r="AF20" s="4"/>
      <c r="AG20" s="4"/>
      <c r="AH20" s="4"/>
      <c r="AI20" s="4"/>
      <c r="AJ20" s="78" t="str">
        <f>IF(E20="○",IF(COUNTA(E$13:E20)=1,"",",")&amp;D20,"")</f>
        <v>,del_ymd</v>
      </c>
      <c r="AK20" s="4"/>
      <c r="AL20" s="4"/>
      <c r="AM20" s="4"/>
      <c r="AN20" s="4"/>
      <c r="AO20" s="4"/>
      <c r="AP20" s="4"/>
      <c r="AQ20" s="4"/>
      <c r="AR20" s="4"/>
      <c r="AS20" s="78" t="str">
        <f>"COMMENT ON COLUMN "&amp;エンティティ一覧!$O$2&amp;"."&amp;D$8&amp;"."&amp;D20&amp;" IS '"&amp;C20&amp;"';"</f>
        <v>COMMENT ON COLUMN milscm_2023_010.azn_202310_backup_mt2_iryouken2.del_ymd IS '廃止年月日';</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B00-000000000000}"/>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Z3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1957</v>
      </c>
      <c r="B1" s="217" t="s">
        <v>110</v>
      </c>
      <c r="C1" s="218"/>
      <c r="D1" s="221" t="s">
        <v>111</v>
      </c>
      <c r="E1" s="222"/>
      <c r="F1" s="222"/>
      <c r="G1" s="213"/>
      <c r="H1" s="221" t="s">
        <v>112</v>
      </c>
      <c r="I1" s="213"/>
      <c r="J1" s="15" t="s">
        <v>113</v>
      </c>
    </row>
    <row r="2" spans="1:52" ht="19.5" thickBot="1">
      <c r="B2" s="219"/>
      <c r="C2" s="220"/>
      <c r="D2" s="223" t="s">
        <v>114</v>
      </c>
      <c r="E2" s="224"/>
      <c r="F2" s="224"/>
      <c r="G2" s="225"/>
      <c r="H2" s="226"/>
      <c r="I2" s="227"/>
      <c r="J2" s="17"/>
    </row>
    <row r="3" spans="1:52" ht="19.5" thickBot="1">
      <c r="B3" s="5"/>
      <c r="C3" s="5"/>
      <c r="D3" s="5"/>
      <c r="E3" s="5"/>
      <c r="F3" s="5"/>
      <c r="G3" s="5"/>
      <c r="H3" s="5"/>
      <c r="I3" s="5"/>
      <c r="J3" s="18"/>
    </row>
    <row r="4" spans="1:52">
      <c r="B4" s="212" t="s">
        <v>3754</v>
      </c>
      <c r="C4" s="213"/>
      <c r="D4" s="214" t="str">
        <f>VLOOKUP(D7,エンティティ一覧!A1:'エンティティ一覧'!AM10142,2,FALSE)</f>
        <v>01</v>
      </c>
      <c r="E4" s="215"/>
      <c r="F4" s="215"/>
      <c r="G4" s="215"/>
      <c r="H4" s="215"/>
      <c r="I4" s="215"/>
      <c r="J4" s="216"/>
    </row>
    <row r="5" spans="1:52">
      <c r="B5" s="228" t="s">
        <v>3755</v>
      </c>
      <c r="C5" s="229"/>
      <c r="D5" s="238" t="str">
        <f>VLOOKUP(D7,エンティティ一覧!A1:'エンティティ一覧'!AM10142,7,FALSE)</f>
        <v>backup</v>
      </c>
      <c r="E5" s="239"/>
      <c r="F5" s="239"/>
      <c r="G5" s="239"/>
      <c r="H5" s="239"/>
      <c r="I5" s="239"/>
      <c r="J5" s="240"/>
    </row>
    <row r="6" spans="1:52">
      <c r="B6" s="228" t="s">
        <v>3756</v>
      </c>
      <c r="C6" s="229"/>
      <c r="D6" s="238" t="str">
        <f>VLOOKUP(D7,エンティティ一覧!A1:'エンティティ一覧'!AM10142,15,FALSE)</f>
        <v>ENT_01_A4-05</v>
      </c>
      <c r="E6" s="239"/>
      <c r="F6" s="239"/>
      <c r="G6" s="239"/>
      <c r="H6" s="239"/>
      <c r="I6" s="239"/>
      <c r="J6" s="240"/>
    </row>
    <row r="7" spans="1:52">
      <c r="B7" s="228" t="s">
        <v>115</v>
      </c>
      <c r="C7" s="229"/>
      <c r="D7" s="230" t="s">
        <v>2583</v>
      </c>
      <c r="E7" s="231"/>
      <c r="F7" s="231"/>
      <c r="G7" s="231"/>
      <c r="H7" s="231"/>
      <c r="I7" s="231"/>
      <c r="J7" s="232"/>
    </row>
    <row r="8" spans="1:52">
      <c r="B8" s="228" t="s">
        <v>116</v>
      </c>
      <c r="C8" s="229"/>
      <c r="D8" s="230" t="str">
        <f>エンティティ一覧!AE2&amp;"_"&amp;D5&amp;"_mt2_old_new_shisetsu"</f>
        <v>azn_202310_backup_mt2_old_new_shisetsu</v>
      </c>
      <c r="E8" s="231"/>
      <c r="F8" s="231"/>
      <c r="G8" s="231"/>
      <c r="H8" s="231"/>
      <c r="I8" s="231"/>
      <c r="J8" s="232"/>
    </row>
    <row r="9" spans="1:52" ht="19.5" customHeight="1" thickBot="1">
      <c r="B9" s="233" t="s">
        <v>117</v>
      </c>
      <c r="C9" s="234"/>
      <c r="D9" s="235" t="str">
        <f>SUBSTITUTE(D7,"バックアップ_","")&amp;"テーブルから組入れ条件の第一条件で絞り込んだ結果を格納するテーブル"</f>
        <v>施設ID対応マスタテーブルから組入れ条件の第一条件で絞り込んだ結果を格納するテーブル</v>
      </c>
      <c r="E9" s="236"/>
      <c r="F9" s="236"/>
      <c r="G9" s="236"/>
      <c r="H9" s="236"/>
      <c r="I9" s="236"/>
      <c r="J9" s="237"/>
    </row>
    <row r="10" spans="1:52">
      <c r="B10" s="19"/>
      <c r="C10" s="19"/>
      <c r="D10" s="5"/>
      <c r="E10" s="5"/>
      <c r="F10" s="5"/>
      <c r="G10" s="5"/>
      <c r="H10" s="5"/>
      <c r="I10" s="5"/>
      <c r="J10" s="18"/>
      <c r="N10" s="78" t="str">
        <f>"--DROP TABLE  "&amp;エンティティ一覧!$O$2&amp;"."&amp;D$8&amp;";"</f>
        <v>--DROP TABLE  milscm_2023_010.azn_202310_backup_mt2_old_new_shisetsu;</v>
      </c>
      <c r="O10" s="78"/>
      <c r="P10" s="78"/>
      <c r="Q10" s="78"/>
      <c r="R10" s="78"/>
      <c r="S10" s="78"/>
      <c r="T10" s="78"/>
      <c r="AJ10" s="78" t="str">
        <f>"ALTER TABLE ONLY "&amp;エンティティ一覧!$O$2&amp;"."&amp;D$8</f>
        <v>ALTER TABLE ONLY milscm_2023_010.azn_202310_backup_mt2_old_new_shisetsu</v>
      </c>
      <c r="AS10" s="78" t="str">
        <f>"ALTER TABLE "&amp;エンティティ一覧!$O$2&amp;"."&amp;D$8&amp;" OWNER TO pgmisgrp1;"</f>
        <v>ALTER TABLE milscm_2023_010.azn_202310_backup_mt2_old_new_shisetsu OWNER TO pgmisgrp1;</v>
      </c>
    </row>
    <row r="11" spans="1:52" ht="19.5" thickBot="1">
      <c r="B11" s="20" t="s">
        <v>118</v>
      </c>
      <c r="C11" s="19"/>
      <c r="D11" s="5"/>
      <c r="E11" s="5"/>
      <c r="F11" s="5"/>
      <c r="G11" s="5"/>
      <c r="H11" s="5"/>
      <c r="I11" s="5"/>
      <c r="J11" s="18"/>
      <c r="N11" s="78" t="str">
        <f>"CREATE TABLE  "&amp;エンティティ一覧!$O$2&amp;"."&amp;D$8</f>
        <v>CREATE TABLE  milscm_2023_010.azn_202310_backup_mt2_old_new_shisetsu</v>
      </c>
      <c r="O11" s="78"/>
      <c r="P11" s="78"/>
      <c r="Q11" s="78"/>
      <c r="R11" s="78"/>
      <c r="S11" s="78"/>
      <c r="T11" s="78"/>
      <c r="AJ11" s="78" t="str">
        <f>"ADD CONSTRAINT "&amp;D$8&amp;"_pkey PRIMARY KEY"</f>
        <v>ADD CONSTRAINT azn_202310_backup_mt2_old_new_shisetsu_pkey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milscm_2023_010.azn_202310_backup_mt2_old_new_shisetsu IS 'バックアップ_施設ID対応マスタ';</v>
      </c>
    </row>
    <row r="13" spans="1:52" s="25" customFormat="1">
      <c r="A13" s="4"/>
      <c r="B13" s="21">
        <f>ROW()-12</f>
        <v>1</v>
      </c>
      <c r="C13" s="6" t="s">
        <v>2584</v>
      </c>
      <c r="D13" s="6" t="s">
        <v>2585</v>
      </c>
      <c r="E13" s="8" t="s">
        <v>127</v>
      </c>
      <c r="F13" s="8" t="s">
        <v>740</v>
      </c>
      <c r="G13" s="7" t="str">
        <f>IF(F13="フラグ","boolean",IF(F13="文字列","text",IF(F13="整数","integer",IF(F13="実数","numeric",""))))</f>
        <v>text</v>
      </c>
      <c r="H13" s="9"/>
      <c r="I13" s="10" t="s">
        <v>127</v>
      </c>
      <c r="J13" s="11"/>
      <c r="M13" s="4"/>
      <c r="N13" s="78"/>
      <c r="O13" s="78"/>
      <c r="P13" s="78" t="str">
        <f>IF(B13&lt;&gt;1,","&amp;D13,D13)</f>
        <v>old_facility_id</v>
      </c>
      <c r="Q13" s="78" t="str">
        <f t="shared" ref="Q13:Q15" si="0">UPPER(G13)</f>
        <v>TEXT</v>
      </c>
      <c r="R13" s="78" t="str">
        <f t="shared" ref="R13:R15" si="1">IF(H13&lt;&gt;"","default "&amp;IF(G13="text","'"&amp;H13&amp;"'",H13),"")</f>
        <v/>
      </c>
      <c r="S13" s="78" t="str">
        <f>IF(I13="○","NOT NULL","")</f>
        <v>NOT NULL</v>
      </c>
      <c r="T13" s="78" t="str">
        <f>"-- "&amp;C13</f>
        <v>-- 旧施設ID</v>
      </c>
      <c r="U13" s="4"/>
      <c r="AA13" s="4"/>
      <c r="AB13" s="4"/>
      <c r="AC13" s="4"/>
      <c r="AD13" s="4"/>
      <c r="AE13" s="4"/>
      <c r="AF13" s="4"/>
      <c r="AG13" s="4"/>
      <c r="AH13" s="4"/>
      <c r="AI13" s="4"/>
      <c r="AJ13" s="78" t="str">
        <f>IF(E13="○",IF(COUNTA(E$13:E13)=1,"",",")&amp;D13,"")</f>
        <v>old_facility_id</v>
      </c>
      <c r="AK13" s="4"/>
      <c r="AL13" s="4"/>
      <c r="AM13" s="4"/>
      <c r="AN13" s="4"/>
      <c r="AO13" s="4"/>
      <c r="AP13" s="4"/>
      <c r="AQ13" s="4"/>
      <c r="AR13" s="4"/>
      <c r="AS13" s="78" t="str">
        <f>"COMMENT ON COLUMN "&amp;エンティティ一覧!$O$2&amp;"."&amp;D$8&amp;"."&amp;D13&amp;" IS '"&amp;C13&amp;"';"</f>
        <v>COMMENT ON COLUMN milscm_2023_010.azn_202310_backup_mt2_old_new_shisetsu.old_facility_id IS '旧施設ID';</v>
      </c>
    </row>
    <row r="14" spans="1:52" s="25" customFormat="1">
      <c r="A14" s="4"/>
      <c r="B14" s="21">
        <f t="shared" ref="B14" si="2">ROW()-12</f>
        <v>2</v>
      </c>
      <c r="C14" s="6" t="s">
        <v>2586</v>
      </c>
      <c r="D14" s="6" t="s">
        <v>2587</v>
      </c>
      <c r="E14" s="8"/>
      <c r="F14" s="7" t="s">
        <v>740</v>
      </c>
      <c r="G14" s="7" t="str">
        <f t="shared" ref="G14:G15" si="3">IF(F14="フラグ","boolean",IF(F14="文字列","text",IF(F14="整数","integer",IF(F14="実数","numeric",""))))</f>
        <v>text</v>
      </c>
      <c r="H14" s="26"/>
      <c r="I14" s="10" t="s">
        <v>127</v>
      </c>
      <c r="J14" s="11"/>
      <c r="M14" s="4"/>
      <c r="N14" s="78"/>
      <c r="O14" s="78"/>
      <c r="P14" s="78" t="str">
        <f t="shared" ref="P14:P15" si="4">IF(B14&lt;&gt;1,","&amp;D14,D14)</f>
        <v>,new_facility_id</v>
      </c>
      <c r="Q14" s="78" t="str">
        <f t="shared" si="0"/>
        <v>TEXT</v>
      </c>
      <c r="R14" s="78" t="str">
        <f t="shared" si="1"/>
        <v/>
      </c>
      <c r="S14" s="78" t="str">
        <f t="shared" ref="S14:S15" si="5">IF(I14="○","NOT NULL","")</f>
        <v>NOT NULL</v>
      </c>
      <c r="T14" s="78" t="str">
        <f t="shared" ref="T14:T15" si="6">"-- "&amp;C14</f>
        <v>-- 新施設ID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milscm_2023_010.azn_202310_backup_mt2_old_new_shisetsu.new_facility_id IS '新施設ID';</v>
      </c>
    </row>
    <row r="15" spans="1:52" s="25" customFormat="1" ht="19.5" thickBot="1">
      <c r="A15" s="4"/>
      <c r="B15" s="27">
        <f>ROW()-12</f>
        <v>3</v>
      </c>
      <c r="C15" s="57" t="s">
        <v>2588</v>
      </c>
      <c r="D15" s="57" t="s">
        <v>1981</v>
      </c>
      <c r="E15" s="56"/>
      <c r="F15" s="56" t="s">
        <v>740</v>
      </c>
      <c r="G15" s="56" t="str">
        <f t="shared" si="3"/>
        <v>text</v>
      </c>
      <c r="H15" s="59">
        <v>99999999</v>
      </c>
      <c r="I15" s="60" t="s">
        <v>127</v>
      </c>
      <c r="J15" s="64" t="s">
        <v>1839</v>
      </c>
      <c r="N15" s="78"/>
      <c r="O15" s="78"/>
      <c r="P15" s="78" t="str">
        <f t="shared" si="4"/>
        <v>,start_ymd</v>
      </c>
      <c r="Q15" s="78" t="str">
        <f t="shared" si="0"/>
        <v>TEXT</v>
      </c>
      <c r="R15" s="78" t="str">
        <f t="shared" si="1"/>
        <v>default '99999999'</v>
      </c>
      <c r="S15" s="78" t="str">
        <f t="shared" si="5"/>
        <v>NOT NULL</v>
      </c>
      <c r="T15" s="78" t="str">
        <f t="shared" si="6"/>
        <v>-- 適用開始日</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milscm_2023_010.azn_202310_backup_mt2_old_new_shisetsu.start_ymd IS '適用開始日';</v>
      </c>
    </row>
    <row r="16" spans="1:52">
      <c r="L16" s="25"/>
      <c r="M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C00-000000000000}"/>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ENT_01_A4-07</v>
      </c>
      <c r="E6" s="239"/>
      <c r="F6" s="239"/>
      <c r="G6" s="239"/>
      <c r="H6" s="239"/>
      <c r="I6" s="239"/>
      <c r="J6" s="240"/>
    </row>
    <row r="7" spans="1:45">
      <c r="B7" s="228" t="s">
        <v>115</v>
      </c>
      <c r="C7" s="229"/>
      <c r="D7" s="230" t="s">
        <v>2591</v>
      </c>
      <c r="E7" s="231"/>
      <c r="F7" s="231"/>
      <c r="G7" s="231"/>
      <c r="H7" s="231"/>
      <c r="I7" s="231"/>
      <c r="J7" s="232"/>
    </row>
    <row r="8" spans="1:45">
      <c r="B8" s="228" t="s">
        <v>116</v>
      </c>
      <c r="C8" s="229"/>
      <c r="D8" s="230" t="str">
        <f>エンティティ一覧!AE2&amp;"_"&amp;D5&amp;"_mt2_iyakuhin_kanren"</f>
        <v>azn_202310_backup_mt2_iyakuhin_kanren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milscm_2023_010.azn_202310_backup_mt2_iyakuhin_kanren;</v>
      </c>
      <c r="O10" s="78"/>
      <c r="P10" s="78"/>
      <c r="Q10" s="78"/>
      <c r="R10" s="78"/>
      <c r="S10" s="78"/>
      <c r="T10" s="78"/>
      <c r="AJ10" s="78" t="str">
        <f>"ALTER TABLE ONLY "&amp;エンティティ一覧!$O$2&amp;"."&amp;D$8</f>
        <v>ALTER TABLE ONLY milscm_2023_010.azn_202310_backup_mt2_iyakuhin_kanren</v>
      </c>
      <c r="AS10" s="78" t="str">
        <f>"ALTER TABLE "&amp;エンティティ一覧!$O$2&amp;"."&amp;D$8&amp;" OWNER TO pgmisgrp1;"</f>
        <v>ALTER TABLE milscm_2023_010.azn_202310_backup_mt2_iyakuhin_kanren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milscm_2023_010.azn_202310_backup_mt2_iyakuhin_kanren</v>
      </c>
      <c r="O11" s="78"/>
      <c r="P11" s="78"/>
      <c r="Q11" s="78"/>
      <c r="R11" s="78"/>
      <c r="S11" s="78"/>
      <c r="T11" s="78"/>
      <c r="AJ11" s="78" t="str">
        <f>"ADD CONSTRAINT "&amp;D$8&amp;"_pkey PRIMARY KEY"</f>
        <v>ADD CONSTRAINT azn_202310_backup_mt2_iyakuhin_kanren_pkey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milscm_2023_010.azn_202310_backup_mt2_iyakuhin_kanren IS 'バックアップ_医薬品関連マスタ';</v>
      </c>
    </row>
    <row r="13" spans="1:45" s="25" customFormat="1">
      <c r="A13" s="4"/>
      <c r="B13" s="21">
        <f>ROW()-12</f>
        <v>1</v>
      </c>
      <c r="C13" s="6" t="s">
        <v>1202</v>
      </c>
      <c r="D13" s="6" t="s">
        <v>2592</v>
      </c>
      <c r="E13" s="8" t="s">
        <v>127</v>
      </c>
      <c r="F13" s="8" t="s">
        <v>740</v>
      </c>
      <c r="G13" s="7" t="str">
        <f>IF(F13="フラグ","boolean",IF(F13="文字列","text",IF(F13="整数","integer",IF(F13="実数","numeric",""))))</f>
        <v>text</v>
      </c>
      <c r="H13" s="9"/>
      <c r="I13" s="10" t="s">
        <v>127</v>
      </c>
      <c r="J13" s="11" t="s">
        <v>2632</v>
      </c>
      <c r="M13" s="4"/>
      <c r="N13" s="78"/>
      <c r="O13" s="78"/>
      <c r="P13" s="78" t="str">
        <f>IF(B13&lt;&gt;1,","&amp;D13,D13)</f>
        <v>iyakuhin_cd</v>
      </c>
      <c r="Q13" s="78" t="str">
        <f t="shared" ref="Q13:Q38" si="0">UPPER(G13)</f>
        <v>TEXT</v>
      </c>
      <c r="R13" s="78" t="str">
        <f t="shared" ref="R13:R38"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iyakuhin_cd</v>
      </c>
      <c r="AK13" s="4"/>
      <c r="AL13" s="4"/>
      <c r="AM13" s="4"/>
      <c r="AN13" s="4"/>
      <c r="AO13" s="4"/>
      <c r="AP13" s="4"/>
      <c r="AQ13" s="4"/>
      <c r="AR13" s="4"/>
      <c r="AS13" s="78" t="str">
        <f>"COMMENT ON COLUMN "&amp;エンティティ一覧!$O$2&amp;"."&amp;D$8&amp;"."&amp;D13&amp;" IS '"&amp;C13&amp;"';"</f>
        <v>COMMENT ON COLUMN milscm_2023_010.azn_202310_backup_mt2_iyakuhin_kanren.iyakuhin_cd IS '医薬品コード';</v>
      </c>
    </row>
    <row r="14" spans="1:45" s="25" customFormat="1">
      <c r="A14" s="4"/>
      <c r="B14" s="21">
        <f t="shared" ref="B14:B37" si="2">ROW()-12</f>
        <v>2</v>
      </c>
      <c r="C14" s="6" t="s">
        <v>2593</v>
      </c>
      <c r="D14" s="6" t="s">
        <v>2594</v>
      </c>
      <c r="E14" s="8"/>
      <c r="F14" s="7" t="s">
        <v>740</v>
      </c>
      <c r="G14" s="7" t="str">
        <f t="shared" ref="G14:G38" si="3">IF(F14="フラグ","boolean",IF(F14="文字列","text",IF(F14="整数","integer",IF(F14="実数","numeric",""))))</f>
        <v>text</v>
      </c>
      <c r="H14" s="26"/>
      <c r="I14" s="10" t="s">
        <v>127</v>
      </c>
      <c r="J14" s="11" t="s">
        <v>2633</v>
      </c>
      <c r="M14" s="4"/>
      <c r="N14" s="78"/>
      <c r="O14" s="78"/>
      <c r="P14" s="78" t="str">
        <f t="shared" ref="P14:P38" si="4">IF(B14&lt;&gt;1,","&amp;D14,D14)</f>
        <v>,iyakuhin_brand_cd</v>
      </c>
      <c r="Q14" s="78" t="str">
        <f t="shared" si="0"/>
        <v>TEXT</v>
      </c>
      <c r="R14" s="78" t="str">
        <f t="shared" si="1"/>
        <v/>
      </c>
      <c r="S14" s="78" t="str">
        <f t="shared" ref="S14:S38" si="5">IF(I14="○","NOT NULL","")</f>
        <v>NOT NULL</v>
      </c>
      <c r="T14" s="78" t="str">
        <f t="shared" ref="T14:T38" si="6">"-- "&amp;C14</f>
        <v>-- 医薬品ブランドコード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milscm_2023_010.azn_202310_backup_mt2_iyakuhin_kanren.iyakuhin_brand_cd IS '医薬品ブランドコード';</v>
      </c>
    </row>
    <row r="15" spans="1:45" s="25" customFormat="1">
      <c r="A15" s="4"/>
      <c r="B15" s="21">
        <f t="shared" si="2"/>
        <v>3</v>
      </c>
      <c r="C15" s="6" t="s">
        <v>2595</v>
      </c>
      <c r="D15" s="6" t="s">
        <v>2596</v>
      </c>
      <c r="E15" s="8"/>
      <c r="F15" s="7" t="s">
        <v>740</v>
      </c>
      <c r="G15" s="7" t="str">
        <f t="shared" si="3"/>
        <v>text</v>
      </c>
      <c r="H15" s="26"/>
      <c r="I15" s="10" t="s">
        <v>127</v>
      </c>
      <c r="J15" s="11" t="s">
        <v>2633</v>
      </c>
      <c r="M15" s="4"/>
      <c r="N15" s="78"/>
      <c r="O15" s="78"/>
      <c r="P15" s="78" t="str">
        <f t="shared" si="4"/>
        <v>,iyakuhin_ippan_name_cd</v>
      </c>
      <c r="Q15" s="78" t="str">
        <f t="shared" si="0"/>
        <v>TEXT</v>
      </c>
      <c r="R15" s="78" t="str">
        <f t="shared" si="1"/>
        <v/>
      </c>
      <c r="S15" s="78" t="str">
        <f t="shared" si="5"/>
        <v>NOT NULL</v>
      </c>
      <c r="T15" s="78" t="str">
        <f t="shared" si="6"/>
        <v>-- 医薬品一般名コード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milscm_2023_010.azn_202310_backup_mt2_iyakuhin_kanren.iyakuhin_ippan_name_cd IS '医薬品一般名コード';</v>
      </c>
    </row>
    <row r="16" spans="1:45" s="25" customFormat="1">
      <c r="A16" s="4"/>
      <c r="B16" s="21">
        <f t="shared" si="2"/>
        <v>4</v>
      </c>
      <c r="C16" s="6" t="s">
        <v>2597</v>
      </c>
      <c r="D16" s="6" t="s">
        <v>2598</v>
      </c>
      <c r="E16" s="8"/>
      <c r="F16" s="7" t="s">
        <v>740</v>
      </c>
      <c r="G16" s="7" t="str">
        <f t="shared" si="3"/>
        <v>text</v>
      </c>
      <c r="H16" s="26"/>
      <c r="I16" s="10" t="s">
        <v>127</v>
      </c>
      <c r="J16" s="11" t="s">
        <v>2633</v>
      </c>
      <c r="M16" s="4"/>
      <c r="N16" s="78"/>
      <c r="O16" s="78"/>
      <c r="P16" s="78" t="str">
        <f t="shared" si="4"/>
        <v>,yakko_bunrui1_cd</v>
      </c>
      <c r="Q16" s="78" t="str">
        <f t="shared" si="0"/>
        <v>TEXT</v>
      </c>
      <c r="R16" s="78" t="str">
        <f t="shared" si="1"/>
        <v/>
      </c>
      <c r="S16" s="78" t="str">
        <f t="shared" si="5"/>
        <v>NOT NULL</v>
      </c>
      <c r="T16" s="78" t="str">
        <f t="shared" si="6"/>
        <v>-- 薬効分類1コード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milscm_2023_010.azn_202310_backup_mt2_iyakuhin_kanren.yakko_bunrui1_cd IS '薬効分類1コード';</v>
      </c>
    </row>
    <row r="17" spans="1:45" s="25" customFormat="1">
      <c r="A17" s="4"/>
      <c r="B17" s="21">
        <f t="shared" si="2"/>
        <v>5</v>
      </c>
      <c r="C17" s="6" t="s">
        <v>2599</v>
      </c>
      <c r="D17" s="6" t="s">
        <v>2600</v>
      </c>
      <c r="E17" s="8"/>
      <c r="F17" s="7" t="s">
        <v>740</v>
      </c>
      <c r="G17" s="7" t="str">
        <f t="shared" si="3"/>
        <v>text</v>
      </c>
      <c r="H17" s="26"/>
      <c r="I17" s="10" t="s">
        <v>127</v>
      </c>
      <c r="J17" s="11" t="s">
        <v>2633</v>
      </c>
      <c r="M17" s="4"/>
      <c r="N17" s="78"/>
      <c r="O17" s="78"/>
      <c r="P17" s="78" t="str">
        <f t="shared" si="4"/>
        <v>,yakko_bunrui2_cd</v>
      </c>
      <c r="Q17" s="78" t="str">
        <f t="shared" si="0"/>
        <v>TEXT</v>
      </c>
      <c r="R17" s="78" t="str">
        <f t="shared" si="1"/>
        <v/>
      </c>
      <c r="S17" s="78" t="str">
        <f t="shared" si="5"/>
        <v>NOT NULL</v>
      </c>
      <c r="T17" s="78" t="str">
        <f t="shared" si="6"/>
        <v>-- 薬効分類2コード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milscm_2023_010.azn_202310_backup_mt2_iyakuhin_kanren.yakko_bunrui2_cd IS '薬効分類2コード';</v>
      </c>
    </row>
    <row r="18" spans="1:45" s="25" customFormat="1">
      <c r="A18" s="4"/>
      <c r="B18" s="21">
        <f t="shared" si="2"/>
        <v>6</v>
      </c>
      <c r="C18" s="6" t="s">
        <v>2601</v>
      </c>
      <c r="D18" s="6" t="s">
        <v>2602</v>
      </c>
      <c r="E18" s="8"/>
      <c r="F18" s="7" t="s">
        <v>740</v>
      </c>
      <c r="G18" s="7" t="str">
        <f t="shared" si="3"/>
        <v>text</v>
      </c>
      <c r="H18" s="26"/>
      <c r="I18" s="10" t="s">
        <v>127</v>
      </c>
      <c r="J18" s="11" t="s">
        <v>2633</v>
      </c>
      <c r="M18" s="4"/>
      <c r="N18" s="78"/>
      <c r="O18" s="78"/>
      <c r="P18" s="78" t="str">
        <f t="shared" si="4"/>
        <v>,yakko_bunrui3_cd</v>
      </c>
      <c r="Q18" s="78" t="str">
        <f t="shared" si="0"/>
        <v>TEXT</v>
      </c>
      <c r="R18" s="78" t="str">
        <f t="shared" si="1"/>
        <v/>
      </c>
      <c r="S18" s="78" t="str">
        <f t="shared" si="5"/>
        <v>NOT NULL</v>
      </c>
      <c r="T18" s="78" t="str">
        <f t="shared" si="6"/>
        <v>-- 薬効分類3コード</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milscm_2023_010.azn_202310_backup_mt2_iyakuhin_kanren.yakko_bunrui3_cd IS '薬効分類3コード';</v>
      </c>
    </row>
    <row r="19" spans="1:45" s="25" customFormat="1">
      <c r="A19" s="4"/>
      <c r="B19" s="21">
        <f t="shared" si="2"/>
        <v>7</v>
      </c>
      <c r="C19" s="6" t="s">
        <v>2603</v>
      </c>
      <c r="D19" s="6" t="s">
        <v>2604</v>
      </c>
      <c r="E19" s="8"/>
      <c r="F19" s="7" t="s">
        <v>740</v>
      </c>
      <c r="G19" s="7" t="str">
        <f t="shared" si="3"/>
        <v>text</v>
      </c>
      <c r="H19" s="26"/>
      <c r="I19" s="10" t="s">
        <v>127</v>
      </c>
      <c r="J19" s="11" t="s">
        <v>2633</v>
      </c>
      <c r="M19" s="4"/>
      <c r="N19" s="78"/>
      <c r="O19" s="78"/>
      <c r="P19" s="78" t="str">
        <f t="shared" si="4"/>
        <v>,yakko_bunrui4_cd</v>
      </c>
      <c r="Q19" s="78" t="str">
        <f t="shared" si="0"/>
        <v>TEXT</v>
      </c>
      <c r="R19" s="78" t="str">
        <f t="shared" si="1"/>
        <v/>
      </c>
      <c r="S19" s="78" t="str">
        <f t="shared" si="5"/>
        <v>NOT NULL</v>
      </c>
      <c r="T19" s="78" t="str">
        <f t="shared" si="6"/>
        <v>-- 薬効分類4コード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milscm_2023_010.azn_202310_backup_mt2_iyakuhin_kanren.yakko_bunrui4_cd IS '薬効分類4コード';</v>
      </c>
    </row>
    <row r="20" spans="1:45" s="25" customFormat="1">
      <c r="A20" s="4"/>
      <c r="B20" s="21">
        <f t="shared" si="2"/>
        <v>8</v>
      </c>
      <c r="C20" s="6" t="s">
        <v>2605</v>
      </c>
      <c r="D20" s="6" t="s">
        <v>2606</v>
      </c>
      <c r="E20" s="8"/>
      <c r="F20" s="7" t="s">
        <v>740</v>
      </c>
      <c r="G20" s="7" t="str">
        <f t="shared" si="3"/>
        <v>text</v>
      </c>
      <c r="H20" s="26"/>
      <c r="I20" s="10" t="s">
        <v>127</v>
      </c>
      <c r="J20" s="11" t="s">
        <v>2633</v>
      </c>
      <c r="M20" s="4"/>
      <c r="N20" s="78"/>
      <c r="O20" s="78"/>
      <c r="P20" s="78" t="str">
        <f t="shared" si="4"/>
        <v>,yakko_bunrui5_cd</v>
      </c>
      <c r="Q20" s="78" t="str">
        <f t="shared" si="0"/>
        <v>TEXT</v>
      </c>
      <c r="R20" s="78" t="str">
        <f t="shared" si="1"/>
        <v/>
      </c>
      <c r="S20" s="78" t="str">
        <f t="shared" si="5"/>
        <v>NOT NULL</v>
      </c>
      <c r="T20" s="78" t="str">
        <f t="shared" si="6"/>
        <v>-- 薬効分類5コード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milscm_2023_010.azn_202310_backup_mt2_iyakuhin_kanren.yakko_bunrui5_cd IS '薬効分類5コード';</v>
      </c>
    </row>
    <row r="21" spans="1:45" s="25" customFormat="1">
      <c r="A21" s="4"/>
      <c r="B21" s="21">
        <f t="shared" si="2"/>
        <v>9</v>
      </c>
      <c r="C21" s="6" t="s">
        <v>2607</v>
      </c>
      <c r="D21" s="6" t="s">
        <v>2608</v>
      </c>
      <c r="E21" s="8"/>
      <c r="F21" s="7" t="s">
        <v>740</v>
      </c>
      <c r="G21" s="7" t="str">
        <f t="shared" si="3"/>
        <v>text</v>
      </c>
      <c r="H21" s="26"/>
      <c r="I21" s="10"/>
      <c r="J21" s="11" t="s">
        <v>2633</v>
      </c>
      <c r="M21" s="4"/>
      <c r="N21" s="78"/>
      <c r="O21" s="78"/>
      <c r="P21" s="78" t="str">
        <f t="shared" si="4"/>
        <v>,seizo_maker_cd</v>
      </c>
      <c r="Q21" s="78" t="str">
        <f t="shared" si="0"/>
        <v>TEXT</v>
      </c>
      <c r="R21" s="78" t="str">
        <f t="shared" si="1"/>
        <v/>
      </c>
      <c r="S21" s="78" t="str">
        <f t="shared" si="5"/>
        <v/>
      </c>
      <c r="T21" s="78" t="str">
        <f t="shared" si="6"/>
        <v>-- 製造メーカコード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milscm_2023_010.azn_202310_backup_mt2_iyakuhin_kanren.seizo_maker_cd IS '製造メーカコード';</v>
      </c>
    </row>
    <row r="22" spans="1:45" s="25" customFormat="1">
      <c r="A22" s="4"/>
      <c r="B22" s="21">
        <f t="shared" si="2"/>
        <v>10</v>
      </c>
      <c r="C22" s="6" t="s">
        <v>2609</v>
      </c>
      <c r="D22" s="6" t="s">
        <v>2610</v>
      </c>
      <c r="E22" s="8"/>
      <c r="F22" s="7" t="s">
        <v>740</v>
      </c>
      <c r="G22" s="7" t="str">
        <f t="shared" si="3"/>
        <v>text</v>
      </c>
      <c r="H22" s="26"/>
      <c r="I22" s="10" t="s">
        <v>127</v>
      </c>
      <c r="J22" s="11" t="s">
        <v>2633</v>
      </c>
      <c r="M22" s="4"/>
      <c r="N22" s="78"/>
      <c r="O22" s="78"/>
      <c r="P22" s="78" t="str">
        <f t="shared" si="4"/>
        <v>,iyakuhin_jpn_name</v>
      </c>
      <c r="Q22" s="78" t="str">
        <f t="shared" si="0"/>
        <v>TEXT</v>
      </c>
      <c r="R22" s="78" t="str">
        <f t="shared" si="1"/>
        <v/>
      </c>
      <c r="S22" s="78" t="str">
        <f t="shared" si="5"/>
        <v>NOT NULL</v>
      </c>
      <c r="T22" s="78" t="str">
        <f t="shared" si="6"/>
        <v>-- 医薬品日本語名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milscm_2023_010.azn_202310_backup_mt2_iyakuhin_kanren.iyakuhin_jpn_name IS '医薬品日本語名';</v>
      </c>
    </row>
    <row r="23" spans="1:45" s="25" customFormat="1">
      <c r="A23" s="4"/>
      <c r="B23" s="21">
        <f t="shared" si="2"/>
        <v>11</v>
      </c>
      <c r="C23" s="6" t="s">
        <v>2611</v>
      </c>
      <c r="D23" s="6" t="s">
        <v>2612</v>
      </c>
      <c r="E23" s="8"/>
      <c r="F23" s="7" t="s">
        <v>740</v>
      </c>
      <c r="G23" s="7" t="str">
        <f t="shared" si="3"/>
        <v>text</v>
      </c>
      <c r="H23" s="26"/>
      <c r="I23" s="10" t="s">
        <v>127</v>
      </c>
      <c r="J23" s="11" t="s">
        <v>2634</v>
      </c>
      <c r="M23" s="4"/>
      <c r="N23" s="78"/>
      <c r="O23" s="78"/>
      <c r="P23" s="78" t="str">
        <f t="shared" si="4"/>
        <v>,iyakuhin_brand_jpn_name</v>
      </c>
      <c r="Q23" s="78" t="str">
        <f t="shared" si="0"/>
        <v>TEXT</v>
      </c>
      <c r="R23" s="78" t="str">
        <f t="shared" si="1"/>
        <v/>
      </c>
      <c r="S23" s="78" t="str">
        <f t="shared" si="5"/>
        <v>NOT NULL</v>
      </c>
      <c r="T23" s="78" t="str">
        <f t="shared" si="6"/>
        <v>-- 医薬品ブランド名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milscm_2023_010.azn_202310_backup_mt2_iyakuhin_kanren.iyakuhin_brand_jpn_name IS '医薬品ブランド名';</v>
      </c>
    </row>
    <row r="24" spans="1:45" s="25" customFormat="1">
      <c r="A24" s="4"/>
      <c r="B24" s="21">
        <f t="shared" si="2"/>
        <v>12</v>
      </c>
      <c r="C24" s="6" t="s">
        <v>2613</v>
      </c>
      <c r="D24" s="6" t="s">
        <v>2157</v>
      </c>
      <c r="E24" s="8"/>
      <c r="F24" s="7" t="s">
        <v>740</v>
      </c>
      <c r="G24" s="7" t="str">
        <f t="shared" si="3"/>
        <v>text</v>
      </c>
      <c r="H24" s="26"/>
      <c r="I24" s="10" t="s">
        <v>127</v>
      </c>
      <c r="J24" s="11" t="s">
        <v>2635</v>
      </c>
      <c r="M24" s="4"/>
      <c r="N24" s="78"/>
      <c r="O24" s="78"/>
      <c r="P24" s="78" t="str">
        <f t="shared" si="4"/>
        <v>,iyakuhin_ippan_name</v>
      </c>
      <c r="Q24" s="78" t="str">
        <f t="shared" si="0"/>
        <v>TEXT</v>
      </c>
      <c r="R24" s="78" t="str">
        <f t="shared" si="1"/>
        <v/>
      </c>
      <c r="S24" s="78" t="str">
        <f t="shared" si="5"/>
        <v>NOT NULL</v>
      </c>
      <c r="T24" s="78" t="str">
        <f t="shared" si="6"/>
        <v>-- 医薬品一般名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milscm_2023_010.azn_202310_backup_mt2_iyakuhin_kanren.iyakuhin_ippan_name IS '医薬品一般名';</v>
      </c>
    </row>
    <row r="25" spans="1:45" s="25" customFormat="1">
      <c r="A25" s="4"/>
      <c r="B25" s="21">
        <f t="shared" si="2"/>
        <v>13</v>
      </c>
      <c r="C25" s="6" t="s">
        <v>2614</v>
      </c>
      <c r="D25" s="6" t="s">
        <v>2159</v>
      </c>
      <c r="E25" s="8"/>
      <c r="F25" s="7" t="s">
        <v>740</v>
      </c>
      <c r="G25" s="7" t="str">
        <f t="shared" si="3"/>
        <v>text</v>
      </c>
      <c r="H25" s="26"/>
      <c r="I25" s="10" t="s">
        <v>127</v>
      </c>
      <c r="J25" s="11" t="s">
        <v>2636</v>
      </c>
      <c r="M25" s="4"/>
      <c r="N25" s="78"/>
      <c r="O25" s="78"/>
      <c r="P25" s="78" t="str">
        <f t="shared" si="4"/>
        <v>,iyakuhin_name</v>
      </c>
      <c r="Q25" s="78" t="str">
        <f t="shared" si="0"/>
        <v>TEXT</v>
      </c>
      <c r="R25" s="78" t="str">
        <f t="shared" si="1"/>
        <v/>
      </c>
      <c r="S25" s="78" t="str">
        <f t="shared" si="5"/>
        <v>NOT NULL</v>
      </c>
      <c r="T25" s="78" t="str">
        <f t="shared" si="6"/>
        <v>-- 医薬品一般名英名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milscm_2023_010.azn_202310_backup_mt2_iyakuhin_kanren.iyakuhin_name IS '医薬品一般名英名';</v>
      </c>
    </row>
    <row r="26" spans="1:45" s="25" customFormat="1">
      <c r="A26" s="4"/>
      <c r="B26" s="21">
        <f t="shared" si="2"/>
        <v>14</v>
      </c>
      <c r="C26" s="6" t="s">
        <v>2615</v>
      </c>
      <c r="D26" s="6" t="s">
        <v>2616</v>
      </c>
      <c r="E26" s="8"/>
      <c r="F26" s="7" t="s">
        <v>740</v>
      </c>
      <c r="G26" s="7" t="str">
        <f t="shared" si="3"/>
        <v>text</v>
      </c>
      <c r="H26" s="26"/>
      <c r="I26" s="10" t="s">
        <v>127</v>
      </c>
      <c r="J26" s="11" t="s">
        <v>2637</v>
      </c>
      <c r="M26" s="4"/>
      <c r="N26" s="78"/>
      <c r="O26" s="78"/>
      <c r="P26" s="78" t="str">
        <f t="shared" si="4"/>
        <v>,yakko_bunrui1_jpn_name</v>
      </c>
      <c r="Q26" s="78" t="str">
        <f t="shared" si="0"/>
        <v>TEXT</v>
      </c>
      <c r="R26" s="78" t="str">
        <f t="shared" si="1"/>
        <v/>
      </c>
      <c r="S26" s="78" t="str">
        <f t="shared" si="5"/>
        <v>NOT NULL</v>
      </c>
      <c r="T26" s="78" t="str">
        <f t="shared" si="6"/>
        <v>-- 薬効分類1名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milscm_2023_010.azn_202310_backup_mt2_iyakuhin_kanren.yakko_bunrui1_jpn_name IS '薬効分類1名';</v>
      </c>
    </row>
    <row r="27" spans="1:45" s="25" customFormat="1">
      <c r="A27" s="4"/>
      <c r="B27" s="21">
        <f t="shared" si="2"/>
        <v>15</v>
      </c>
      <c r="C27" s="6" t="s">
        <v>2617</v>
      </c>
      <c r="D27" s="6" t="s">
        <v>2618</v>
      </c>
      <c r="E27" s="8"/>
      <c r="F27" s="7" t="s">
        <v>740</v>
      </c>
      <c r="G27" s="7" t="str">
        <f t="shared" si="3"/>
        <v>text</v>
      </c>
      <c r="H27" s="26"/>
      <c r="I27" s="10" t="s">
        <v>127</v>
      </c>
      <c r="J27" s="11" t="s">
        <v>2638</v>
      </c>
      <c r="M27" s="4"/>
      <c r="N27" s="78"/>
      <c r="O27" s="78"/>
      <c r="P27" s="78" t="str">
        <f t="shared" si="4"/>
        <v>,yakko_bunrui2_jpn_name</v>
      </c>
      <c r="Q27" s="78" t="str">
        <f t="shared" si="0"/>
        <v>TEXT</v>
      </c>
      <c r="R27" s="78" t="str">
        <f t="shared" si="1"/>
        <v/>
      </c>
      <c r="S27" s="78" t="str">
        <f t="shared" si="5"/>
        <v>NOT NULL</v>
      </c>
      <c r="T27" s="78" t="str">
        <f t="shared" si="6"/>
        <v>-- 薬効分類2名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milscm_2023_010.azn_202310_backup_mt2_iyakuhin_kanren.yakko_bunrui2_jpn_name IS '薬効分類2名';</v>
      </c>
    </row>
    <row r="28" spans="1:45" s="25" customFormat="1">
      <c r="A28" s="4"/>
      <c r="B28" s="21">
        <f t="shared" si="2"/>
        <v>16</v>
      </c>
      <c r="C28" s="6" t="s">
        <v>2619</v>
      </c>
      <c r="D28" s="6" t="s">
        <v>2620</v>
      </c>
      <c r="E28" s="8"/>
      <c r="F28" s="7" t="s">
        <v>740</v>
      </c>
      <c r="G28" s="7" t="str">
        <f t="shared" ref="G28:G36" si="7">IF(F28="フラグ","boolean",IF(F28="文字列","text",IF(F28="整数","integer",IF(F28="実数","numeric",""))))</f>
        <v>text</v>
      </c>
      <c r="H28" s="26"/>
      <c r="I28" s="10" t="s">
        <v>127</v>
      </c>
      <c r="J28" s="11" t="s">
        <v>2639</v>
      </c>
      <c r="M28" s="4"/>
      <c r="N28" s="78"/>
      <c r="O28" s="78"/>
      <c r="P28" s="78" t="str">
        <f t="shared" ref="P28:P36" si="8">IF(B28&lt;&gt;1,","&amp;D28,D28)</f>
        <v>,yakko_bunrui3_jpn_name</v>
      </c>
      <c r="Q28" s="78" t="str">
        <f t="shared" ref="Q28:Q36" si="9">UPPER(G28)</f>
        <v>TEXT</v>
      </c>
      <c r="R28" s="78" t="str">
        <f t="shared" ref="R28:R36" si="10">IF(H28&lt;&gt;"","default "&amp;IF(G28="text","'"&amp;H28&amp;"'",H28),"")</f>
        <v/>
      </c>
      <c r="S28" s="78" t="str">
        <f t="shared" ref="S28:S36" si="11">IF(I28="○","NOT NULL","")</f>
        <v>NOT NULL</v>
      </c>
      <c r="T28" s="78" t="str">
        <f t="shared" ref="T28:T36" si="12">"-- "&amp;C28</f>
        <v>-- 薬効分類3名</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milscm_2023_010.azn_202310_backup_mt2_iyakuhin_kanren.yakko_bunrui3_jpn_name IS '薬効分類3名';</v>
      </c>
    </row>
    <row r="29" spans="1:45" s="25" customFormat="1">
      <c r="A29" s="4"/>
      <c r="B29" s="21">
        <f t="shared" si="2"/>
        <v>17</v>
      </c>
      <c r="C29" s="6" t="s">
        <v>2621</v>
      </c>
      <c r="D29" s="6" t="s">
        <v>2622</v>
      </c>
      <c r="E29" s="8"/>
      <c r="F29" s="7" t="s">
        <v>740</v>
      </c>
      <c r="G29" s="7" t="str">
        <f t="shared" si="7"/>
        <v>text</v>
      </c>
      <c r="H29" s="26"/>
      <c r="I29" s="10" t="s">
        <v>127</v>
      </c>
      <c r="J29" s="11" t="s">
        <v>2640</v>
      </c>
      <c r="M29" s="4"/>
      <c r="N29" s="78"/>
      <c r="O29" s="78"/>
      <c r="P29" s="78" t="str">
        <f t="shared" si="8"/>
        <v>,yakko_bunrui4_jpn_name</v>
      </c>
      <c r="Q29" s="78" t="str">
        <f t="shared" si="9"/>
        <v>TEXT</v>
      </c>
      <c r="R29" s="78" t="str">
        <f t="shared" si="10"/>
        <v/>
      </c>
      <c r="S29" s="78" t="str">
        <f t="shared" si="11"/>
        <v>NOT NULL</v>
      </c>
      <c r="T29" s="78" t="str">
        <f t="shared" si="12"/>
        <v>-- 薬効分類4名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milscm_2023_010.azn_202310_backup_mt2_iyakuhin_kanren.yakko_bunrui4_jpn_name IS '薬効分類4名';</v>
      </c>
    </row>
    <row r="30" spans="1:45" s="25" customFormat="1">
      <c r="A30" s="4"/>
      <c r="B30" s="21">
        <f t="shared" si="2"/>
        <v>18</v>
      </c>
      <c r="C30" s="6" t="s">
        <v>2623</v>
      </c>
      <c r="D30" s="6" t="s">
        <v>2624</v>
      </c>
      <c r="E30" s="8"/>
      <c r="F30" s="7" t="s">
        <v>740</v>
      </c>
      <c r="G30" s="7" t="str">
        <f t="shared" si="7"/>
        <v>text</v>
      </c>
      <c r="H30" s="26"/>
      <c r="I30" s="10" t="s">
        <v>127</v>
      </c>
      <c r="J30" s="11" t="s">
        <v>2641</v>
      </c>
      <c r="M30" s="4"/>
      <c r="N30" s="78"/>
      <c r="O30" s="78"/>
      <c r="P30" s="78" t="str">
        <f t="shared" si="8"/>
        <v>,yakko_bunrui5_jpn_name</v>
      </c>
      <c r="Q30" s="78" t="str">
        <f t="shared" si="9"/>
        <v>TEXT</v>
      </c>
      <c r="R30" s="78" t="str">
        <f t="shared" si="10"/>
        <v/>
      </c>
      <c r="S30" s="78" t="str">
        <f t="shared" si="11"/>
        <v>NOT NULL</v>
      </c>
      <c r="T30" s="78" t="str">
        <f t="shared" si="12"/>
        <v>-- 薬効分類5名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milscm_2023_010.azn_202310_backup_mt2_iyakuhin_kanren.yakko_bunrui5_jpn_name IS '薬効分類5名';</v>
      </c>
    </row>
    <row r="31" spans="1:45" s="25" customFormat="1">
      <c r="A31" s="4"/>
      <c r="B31" s="21">
        <f t="shared" si="2"/>
        <v>19</v>
      </c>
      <c r="C31" s="6" t="s">
        <v>2625</v>
      </c>
      <c r="D31" s="6" t="s">
        <v>2626</v>
      </c>
      <c r="E31" s="8"/>
      <c r="F31" s="7" t="s">
        <v>740</v>
      </c>
      <c r="G31" s="7" t="str">
        <f t="shared" si="7"/>
        <v>text</v>
      </c>
      <c r="H31" s="26"/>
      <c r="I31" s="10"/>
      <c r="J31" s="11" t="s">
        <v>2642</v>
      </c>
      <c r="M31" s="4"/>
      <c r="N31" s="78"/>
      <c r="O31" s="78"/>
      <c r="P31" s="78" t="str">
        <f t="shared" si="8"/>
        <v>,seizo_maker_name</v>
      </c>
      <c r="Q31" s="78" t="str">
        <f t="shared" si="9"/>
        <v>TEXT</v>
      </c>
      <c r="R31" s="78" t="str">
        <f t="shared" si="10"/>
        <v/>
      </c>
      <c r="S31" s="78" t="str">
        <f t="shared" si="11"/>
        <v/>
      </c>
      <c r="T31" s="78" t="str">
        <f t="shared" si="12"/>
        <v>-- 製造メーカ名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milscm_2023_010.azn_202310_backup_mt2_iyakuhin_kanren.seizo_maker_name IS '製造メーカ名';</v>
      </c>
    </row>
    <row r="32" spans="1:45" s="25" customFormat="1">
      <c r="A32" s="4"/>
      <c r="B32" s="21">
        <f t="shared" si="2"/>
        <v>20</v>
      </c>
      <c r="C32" s="6" t="s">
        <v>2627</v>
      </c>
      <c r="D32" s="6" t="s">
        <v>2628</v>
      </c>
      <c r="E32" s="8"/>
      <c r="F32" s="7" t="s">
        <v>740</v>
      </c>
      <c r="G32" s="7" t="str">
        <f t="shared" si="7"/>
        <v>text</v>
      </c>
      <c r="H32" s="26">
        <v>0</v>
      </c>
      <c r="I32" s="10" t="s">
        <v>127</v>
      </c>
      <c r="J32" s="11" t="s">
        <v>2633</v>
      </c>
      <c r="M32" s="4"/>
      <c r="N32" s="78"/>
      <c r="O32" s="78"/>
      <c r="P32" s="78" t="str">
        <f t="shared" si="8"/>
        <v>,kohatsuhin_f</v>
      </c>
      <c r="Q32" s="78" t="str">
        <f t="shared" si="9"/>
        <v>TEXT</v>
      </c>
      <c r="R32" s="78" t="str">
        <f t="shared" si="10"/>
        <v>default '0'</v>
      </c>
      <c r="S32" s="78" t="str">
        <f t="shared" si="11"/>
        <v>NOT NULL</v>
      </c>
      <c r="T32" s="78" t="str">
        <f t="shared" si="12"/>
        <v>-- 後発品フラグ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milscm_2023_010.azn_202310_backup_mt2_iyakuhin_kanren.kohatsuhin_f IS '後発品フラグ';</v>
      </c>
    </row>
    <row r="33" spans="1:52" s="25" customFormat="1">
      <c r="A33" s="4"/>
      <c r="B33" s="21">
        <f t="shared" si="2"/>
        <v>21</v>
      </c>
      <c r="C33" s="6" t="s">
        <v>2629</v>
      </c>
      <c r="D33" s="6" t="s">
        <v>2630</v>
      </c>
      <c r="E33" s="8"/>
      <c r="F33" s="7" t="s">
        <v>740</v>
      </c>
      <c r="G33" s="7" t="str">
        <f t="shared" si="7"/>
        <v>text</v>
      </c>
      <c r="H33" s="26"/>
      <c r="I33" s="10" t="s">
        <v>127</v>
      </c>
      <c r="J33" s="11" t="s">
        <v>2633</v>
      </c>
      <c r="M33" s="4"/>
      <c r="N33" s="78"/>
      <c r="O33" s="78"/>
      <c r="P33" s="78" t="str">
        <f t="shared" si="8"/>
        <v>,toyo_keiro_kubun</v>
      </c>
      <c r="Q33" s="78" t="str">
        <f t="shared" si="9"/>
        <v>TEXT</v>
      </c>
      <c r="R33" s="78" t="str">
        <f t="shared" si="10"/>
        <v/>
      </c>
      <c r="S33" s="78" t="str">
        <f t="shared" si="11"/>
        <v>NOT NULL</v>
      </c>
      <c r="T33" s="78" t="str">
        <f t="shared" si="12"/>
        <v>-- 投与経路区分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milscm_2023_010.azn_202310_backup_mt2_iyakuhin_kanren.toyo_keiro_kubun IS '投与経路区分';</v>
      </c>
    </row>
    <row r="34" spans="1:52" s="25" customFormat="1" ht="37.5">
      <c r="A34" s="4"/>
      <c r="B34" s="21">
        <f t="shared" si="2"/>
        <v>22</v>
      </c>
      <c r="C34" s="6" t="s">
        <v>1958</v>
      </c>
      <c r="D34" s="6" t="s">
        <v>2631</v>
      </c>
      <c r="E34" s="8" t="s">
        <v>127</v>
      </c>
      <c r="F34" s="7" t="s">
        <v>740</v>
      </c>
      <c r="G34" s="7" t="str">
        <f t="shared" si="7"/>
        <v>text</v>
      </c>
      <c r="H34" s="26" t="s">
        <v>1965</v>
      </c>
      <c r="I34" s="10" t="s">
        <v>127</v>
      </c>
      <c r="J34" s="11" t="s">
        <v>2643</v>
      </c>
      <c r="M34" s="4"/>
      <c r="N34" s="78"/>
      <c r="O34" s="78"/>
      <c r="P34" s="78" t="str">
        <f t="shared" si="8"/>
        <v>,yakkasyusai_ymd</v>
      </c>
      <c r="Q34" s="78" t="str">
        <f t="shared" si="9"/>
        <v>TEXT</v>
      </c>
      <c r="R34" s="78" t="str">
        <f t="shared" si="10"/>
        <v>default '99999999'</v>
      </c>
      <c r="S34" s="78" t="str">
        <f t="shared" si="11"/>
        <v>NOT NULL</v>
      </c>
      <c r="T34" s="78" t="str">
        <f t="shared" si="12"/>
        <v>-- 施行年月日</v>
      </c>
      <c r="U34" s="4"/>
      <c r="AA34" s="4"/>
      <c r="AB34" s="4"/>
      <c r="AC34" s="4"/>
      <c r="AD34" s="4"/>
      <c r="AE34" s="4"/>
      <c r="AF34" s="4"/>
      <c r="AG34" s="4"/>
      <c r="AH34" s="4"/>
      <c r="AI34" s="4"/>
      <c r="AJ34" s="78" t="str">
        <f>IF(E34="○",IF(COUNTA(E$13:E34)=1,"",",")&amp;D34,"")</f>
        <v>,yakkasyusai_ymd</v>
      </c>
      <c r="AK34" s="4"/>
      <c r="AL34" s="4"/>
      <c r="AM34" s="4"/>
      <c r="AN34" s="4"/>
      <c r="AO34" s="4"/>
      <c r="AP34" s="4"/>
      <c r="AQ34" s="4"/>
      <c r="AR34" s="4"/>
      <c r="AS34" s="78" t="str">
        <f>"COMMENT ON COLUMN "&amp;エンティティ一覧!$O$2&amp;"."&amp;D$8&amp;"."&amp;D34&amp;" IS '"&amp;C34&amp;"';"</f>
        <v>COMMENT ON COLUMN milscm_2023_010.azn_202310_backup_mt2_iyakuhin_kanren.yakkasyusai_ymd IS '施行年月日';</v>
      </c>
    </row>
    <row r="35" spans="1:52" s="25" customFormat="1">
      <c r="A35" s="4"/>
      <c r="B35" s="21">
        <f t="shared" si="2"/>
        <v>23</v>
      </c>
      <c r="C35" s="6" t="s">
        <v>2552</v>
      </c>
      <c r="D35" s="6" t="s">
        <v>2553</v>
      </c>
      <c r="E35" s="8"/>
      <c r="F35" s="7" t="s">
        <v>740</v>
      </c>
      <c r="G35" s="7" t="str">
        <f t="shared" si="7"/>
        <v>text</v>
      </c>
      <c r="H35" s="26">
        <v>0</v>
      </c>
      <c r="I35" s="10" t="s">
        <v>127</v>
      </c>
      <c r="J35" s="11"/>
      <c r="M35" s="4"/>
      <c r="N35" s="78"/>
      <c r="O35" s="78"/>
      <c r="P35" s="78" t="str">
        <f t="shared" si="8"/>
        <v>,new_f</v>
      </c>
      <c r="Q35" s="78" t="str">
        <f t="shared" si="9"/>
        <v>TEXT</v>
      </c>
      <c r="R35" s="78" t="str">
        <f t="shared" si="10"/>
        <v>default '0'</v>
      </c>
      <c r="S35" s="78" t="str">
        <f t="shared" si="11"/>
        <v>NOT NULL</v>
      </c>
      <c r="T35" s="78" t="str">
        <f t="shared" si="12"/>
        <v>-- 最新フラグ</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milscm_2023_010.azn_202310_backup_mt2_iyakuhin_kanren.new_f IS '最新フラグ';</v>
      </c>
    </row>
    <row r="36" spans="1:52" s="25" customFormat="1" ht="37.5">
      <c r="A36" s="4"/>
      <c r="B36" s="21">
        <f t="shared" si="2"/>
        <v>24</v>
      </c>
      <c r="C36" s="6" t="s">
        <v>2579</v>
      </c>
      <c r="D36" s="6" t="s">
        <v>1949</v>
      </c>
      <c r="E36" s="8"/>
      <c r="F36" s="7" t="s">
        <v>740</v>
      </c>
      <c r="G36" s="7" t="str">
        <f t="shared" si="7"/>
        <v>text</v>
      </c>
      <c r="H36" s="26">
        <v>0</v>
      </c>
      <c r="I36" s="10" t="s">
        <v>127</v>
      </c>
      <c r="J36" s="11" t="s">
        <v>2644</v>
      </c>
      <c r="M36" s="4"/>
      <c r="N36" s="78"/>
      <c r="O36" s="78"/>
      <c r="P36" s="78" t="str">
        <f t="shared" si="8"/>
        <v>,del_f</v>
      </c>
      <c r="Q36" s="78" t="str">
        <f t="shared" si="9"/>
        <v>TEXT</v>
      </c>
      <c r="R36" s="78" t="str">
        <f t="shared" si="10"/>
        <v>default '0'</v>
      </c>
      <c r="S36" s="78" t="str">
        <f t="shared" si="11"/>
        <v>NOT NULL</v>
      </c>
      <c r="T36" s="78" t="str">
        <f t="shared" si="12"/>
        <v>-- 削除フラグ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milscm_2023_010.azn_202310_backup_mt2_iyakuhin_kanren.del_f IS '削除フラグ';</v>
      </c>
    </row>
    <row r="37" spans="1:52" s="25" customFormat="1" ht="37.5">
      <c r="A37" s="4"/>
      <c r="B37" s="21">
        <f t="shared" si="2"/>
        <v>25</v>
      </c>
      <c r="C37" s="6" t="s">
        <v>2012</v>
      </c>
      <c r="D37" s="6" t="s">
        <v>1951</v>
      </c>
      <c r="E37" s="8"/>
      <c r="F37" s="7" t="s">
        <v>740</v>
      </c>
      <c r="G37" s="7" t="str">
        <f t="shared" si="3"/>
        <v>text</v>
      </c>
      <c r="H37" s="26" t="s">
        <v>1965</v>
      </c>
      <c r="I37" s="10" t="s">
        <v>127</v>
      </c>
      <c r="J37" s="11" t="s">
        <v>2645</v>
      </c>
      <c r="M37" s="4"/>
      <c r="N37" s="78"/>
      <c r="O37" s="78"/>
      <c r="P37" s="78" t="str">
        <f t="shared" si="4"/>
        <v>,henkou_ymd</v>
      </c>
      <c r="Q37" s="78" t="str">
        <f t="shared" si="0"/>
        <v>TEXT</v>
      </c>
      <c r="R37" s="78" t="str">
        <f t="shared" si="1"/>
        <v>default '99999999'</v>
      </c>
      <c r="S37" s="78" t="str">
        <f t="shared" si="5"/>
        <v>NOT NULL</v>
      </c>
      <c r="T37" s="78" t="str">
        <f t="shared" si="6"/>
        <v>-- 変更年月日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milscm_2023_010.azn_202310_backup_mt2_iyakuhin_kanren.henkou_ymd IS '変更年月日';</v>
      </c>
    </row>
    <row r="38" spans="1:52" s="25" customFormat="1" ht="38.25" thickBot="1">
      <c r="A38" s="4"/>
      <c r="B38" s="27">
        <f>ROW()-12</f>
        <v>26</v>
      </c>
      <c r="C38" s="57" t="s">
        <v>1952</v>
      </c>
      <c r="D38" s="57" t="s">
        <v>1953</v>
      </c>
      <c r="E38" s="56"/>
      <c r="F38" s="56" t="s">
        <v>740</v>
      </c>
      <c r="G38" s="56" t="str">
        <f t="shared" si="3"/>
        <v>text</v>
      </c>
      <c r="H38" s="59" t="s">
        <v>1965</v>
      </c>
      <c r="I38" s="60" t="s">
        <v>127</v>
      </c>
      <c r="J38" s="64" t="s">
        <v>2646</v>
      </c>
      <c r="N38" s="78"/>
      <c r="O38" s="78"/>
      <c r="P38" s="78" t="str">
        <f t="shared" si="4"/>
        <v>,del_ymd</v>
      </c>
      <c r="Q38" s="78" t="str">
        <f t="shared" si="0"/>
        <v>TEXT</v>
      </c>
      <c r="R38" s="78" t="str">
        <f t="shared" si="1"/>
        <v>default '99999999'</v>
      </c>
      <c r="S38" s="78" t="str">
        <f t="shared" si="5"/>
        <v>NOT NULL</v>
      </c>
      <c r="T38" s="78" t="str">
        <f t="shared" si="6"/>
        <v>-- 廃止年月日</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milscm_2023_010.azn_202310_backup_mt2_iyakuhin_kanren.del_ymd IS '廃止年月日';</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D00-000000000000}"/>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ENT_01_A4-08</v>
      </c>
      <c r="E6" s="239"/>
      <c r="F6" s="239"/>
      <c r="G6" s="239"/>
      <c r="H6" s="239"/>
      <c r="I6" s="239"/>
      <c r="J6" s="240"/>
    </row>
    <row r="7" spans="1:45">
      <c r="B7" s="228" t="s">
        <v>115</v>
      </c>
      <c r="C7" s="229"/>
      <c r="D7" s="230" t="s">
        <v>2647</v>
      </c>
      <c r="E7" s="231"/>
      <c r="F7" s="231"/>
      <c r="G7" s="231"/>
      <c r="H7" s="231"/>
      <c r="I7" s="231"/>
      <c r="J7" s="232"/>
    </row>
    <row r="8" spans="1:45">
      <c r="B8" s="228" t="s">
        <v>116</v>
      </c>
      <c r="C8" s="229"/>
      <c r="D8" s="230" t="str">
        <f>エンティティ一覧!AE2&amp;"_"&amp;D5&amp;"_mt2_price_kanren"</f>
        <v>azn_202310_backup_mt2_price_kanren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薬価関連マスタテーブルから組入れ条件の第一条件で絞り込んだ結果を格納するテーブル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milscm_2023_010.azn_202310_backup_mt2_price_kanren;</v>
      </c>
      <c r="O10" s="78"/>
      <c r="P10" s="78"/>
      <c r="Q10" s="78"/>
      <c r="R10" s="78"/>
      <c r="S10" s="78"/>
      <c r="T10" s="78"/>
      <c r="AJ10" s="78" t="str">
        <f>"ALTER TABLE ONLY "&amp;エンティティ一覧!$O$2&amp;"."&amp;D$8</f>
        <v>ALTER TABLE ONLY milscm_2023_010.azn_202310_backup_mt2_price_kanren</v>
      </c>
      <c r="AS10" s="78" t="str">
        <f>"ALTER TABLE "&amp;エンティティ一覧!$O$2&amp;"."&amp;D$8&amp;" OWNER TO pgmisgrp1;"</f>
        <v>ALTER TABLE milscm_2023_010.azn_202310_backup_mt2_price_kanren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milscm_2023_010.azn_202310_backup_mt2_price_kanren</v>
      </c>
      <c r="O11" s="78"/>
      <c r="P11" s="78"/>
      <c r="Q11" s="78"/>
      <c r="R11" s="78"/>
      <c r="S11" s="78"/>
      <c r="T11" s="78"/>
      <c r="AJ11" s="78" t="str">
        <f>"ADD CONSTRAINT "&amp;D$8&amp;"_pkey PRIMARY KEY"</f>
        <v>ADD CONSTRAINT azn_202310_backup_mt2_price_kanren_pkey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milscm_2023_010.azn_202310_backup_mt2_price_kanren IS 'バックアップ_薬価関連マスタ';</v>
      </c>
    </row>
    <row r="13" spans="1:45" s="25" customFormat="1">
      <c r="A13" s="4"/>
      <c r="B13" s="21">
        <f>ROW()-12</f>
        <v>1</v>
      </c>
      <c r="C13" s="6" t="s">
        <v>1202</v>
      </c>
      <c r="D13" s="6" t="s">
        <v>1203</v>
      </c>
      <c r="E13" s="8" t="s">
        <v>127</v>
      </c>
      <c r="F13" s="8" t="s">
        <v>740</v>
      </c>
      <c r="G13" s="7" t="str">
        <f>IF(F13="フラグ","boolean",IF(F13="文字列","text",IF(F13="整数","integer",IF(F13="実数","numeric",""))))</f>
        <v>text</v>
      </c>
      <c r="H13" s="9"/>
      <c r="I13" s="10" t="s">
        <v>127</v>
      </c>
      <c r="J13" s="11" t="s">
        <v>2651</v>
      </c>
      <c r="M13" s="4"/>
      <c r="N13" s="78"/>
      <c r="O13" s="78"/>
      <c r="P13" s="78" t="str">
        <f>IF(B13&lt;&gt;1,","&amp;D13,D13)</f>
        <v>iyakuhin_code</v>
      </c>
      <c r="Q13" s="78" t="str">
        <f t="shared" ref="Q13:Q19" si="0">UPPER(G13)</f>
        <v>TEXT</v>
      </c>
      <c r="R13" s="78" t="str">
        <f t="shared" ref="R13:R19" si="1">IF(H13&lt;&gt;"","default "&amp;IF(G13="text","'"&amp;H13&amp;"'",H13),"")</f>
        <v/>
      </c>
      <c r="S13" s="78" t="str">
        <f>IF(I13="○","NOT NULL","")</f>
        <v>NOT NULL</v>
      </c>
      <c r="T13" s="78" t="str">
        <f>"-- "&amp;C13</f>
        <v>-- 医薬品コード</v>
      </c>
      <c r="U13" s="4"/>
      <c r="AA13" s="4"/>
      <c r="AB13" s="4"/>
      <c r="AC13" s="4"/>
      <c r="AD13" s="4"/>
      <c r="AE13" s="4"/>
      <c r="AF13" s="4"/>
      <c r="AG13" s="4"/>
      <c r="AH13" s="4"/>
      <c r="AI13" s="4"/>
      <c r="AJ13" s="78" t="str">
        <f>IF(E13="○",IF(COUNTA(E$13:E13)=1,"",",")&amp;D13,"")</f>
        <v>iyakuhin_code</v>
      </c>
      <c r="AK13" s="4"/>
      <c r="AL13" s="4"/>
      <c r="AM13" s="4"/>
      <c r="AN13" s="4"/>
      <c r="AO13" s="4"/>
      <c r="AP13" s="4"/>
      <c r="AQ13" s="4"/>
      <c r="AR13" s="4"/>
      <c r="AS13" s="78" t="str">
        <f>"COMMENT ON COLUMN "&amp;エンティティ一覧!$O$2&amp;"."&amp;D$8&amp;"."&amp;D13&amp;" IS '"&amp;C13&amp;"';"</f>
        <v>COMMENT ON COLUMN milscm_2023_010.azn_202310_backup_mt2_price_kanren.iyakuhin_code IS '医薬品コード';</v>
      </c>
    </row>
    <row r="14" spans="1:45" s="25" customFormat="1">
      <c r="A14" s="4"/>
      <c r="B14" s="21">
        <f t="shared" ref="B14:B18" si="2">ROW()-12</f>
        <v>2</v>
      </c>
      <c r="C14" s="6" t="s">
        <v>2648</v>
      </c>
      <c r="D14" s="6" t="s">
        <v>2649</v>
      </c>
      <c r="E14" s="8"/>
      <c r="F14" s="7" t="s">
        <v>2650</v>
      </c>
      <c r="G14" s="7" t="str">
        <f t="shared" ref="G14:G19" si="3">IF(F14="フラグ","boolean",IF(F14="文字列","text",IF(F14="整数","integer",IF(F14="実数","numeric",""))))</f>
        <v>numeric</v>
      </c>
      <c r="H14" s="26"/>
      <c r="I14" s="10" t="s">
        <v>127</v>
      </c>
      <c r="J14" s="11" t="s">
        <v>2651</v>
      </c>
      <c r="M14" s="4"/>
      <c r="N14" s="78"/>
      <c r="O14" s="78"/>
      <c r="P14" s="78" t="str">
        <f t="shared" ref="P14:P19" si="4">IF(B14&lt;&gt;1,","&amp;D14,D14)</f>
        <v>,price</v>
      </c>
      <c r="Q14" s="78" t="str">
        <f t="shared" si="0"/>
        <v>NUMERIC</v>
      </c>
      <c r="R14" s="78" t="str">
        <f t="shared" si="1"/>
        <v/>
      </c>
      <c r="S14" s="78" t="str">
        <f t="shared" ref="S14:S19" si="5">IF(I14="○","NOT NULL","")</f>
        <v>NOT NULL</v>
      </c>
      <c r="T14" s="78" t="str">
        <f t="shared" ref="T14:T19" si="6">"-- "&amp;C14</f>
        <v>-- 薬価</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milscm_2023_010.azn_202310_backup_mt2_price_kanren.price IS '薬価';</v>
      </c>
    </row>
    <row r="15" spans="1:45" s="25" customFormat="1" ht="37.5">
      <c r="A15" s="4"/>
      <c r="B15" s="21">
        <f t="shared" si="2"/>
        <v>3</v>
      </c>
      <c r="C15" s="6" t="s">
        <v>1958</v>
      </c>
      <c r="D15" s="6" t="s">
        <v>2631</v>
      </c>
      <c r="E15" s="8" t="s">
        <v>127</v>
      </c>
      <c r="F15" s="7" t="s">
        <v>740</v>
      </c>
      <c r="G15" s="7" t="str">
        <f t="shared" si="3"/>
        <v>text</v>
      </c>
      <c r="H15" s="26">
        <v>99999999</v>
      </c>
      <c r="I15" s="10" t="s">
        <v>127</v>
      </c>
      <c r="J15" s="11" t="s">
        <v>2652</v>
      </c>
      <c r="M15" s="4"/>
      <c r="N15" s="78"/>
      <c r="O15" s="78"/>
      <c r="P15" s="78" t="str">
        <f t="shared" si="4"/>
        <v>,yakkasyusai_ymd</v>
      </c>
      <c r="Q15" s="78" t="str">
        <f t="shared" si="0"/>
        <v>TEXT</v>
      </c>
      <c r="R15" s="78" t="str">
        <f t="shared" si="1"/>
        <v>default '99999999'</v>
      </c>
      <c r="S15" s="78" t="str">
        <f t="shared" si="5"/>
        <v>NOT NULL</v>
      </c>
      <c r="T15" s="78" t="str">
        <f t="shared" si="6"/>
        <v>-- 施行年月日</v>
      </c>
      <c r="U15" s="4"/>
      <c r="AA15" s="4"/>
      <c r="AB15" s="4"/>
      <c r="AC15" s="4"/>
      <c r="AD15" s="4"/>
      <c r="AE15" s="4"/>
      <c r="AF15" s="4"/>
      <c r="AG15" s="4"/>
      <c r="AH15" s="4"/>
      <c r="AI15" s="4"/>
      <c r="AJ15" s="78" t="str">
        <f>IF(E15="○",IF(COUNTA(E$13:E15)=1,"",",")&amp;D15,"")</f>
        <v>,yakkasyusai_ymd</v>
      </c>
      <c r="AK15" s="4"/>
      <c r="AL15" s="4"/>
      <c r="AM15" s="4"/>
      <c r="AN15" s="4"/>
      <c r="AO15" s="4"/>
      <c r="AP15" s="4"/>
      <c r="AQ15" s="4"/>
      <c r="AR15" s="4"/>
      <c r="AS15" s="78" t="str">
        <f>"COMMENT ON COLUMN "&amp;エンティティ一覧!$O$2&amp;"."&amp;D$8&amp;"."&amp;D15&amp;" IS '"&amp;C15&amp;"';"</f>
        <v>COMMENT ON COLUMN milscm_2023_010.azn_202310_backup_mt2_price_kanren.yakkasyusai_ymd IS '施行年月日';</v>
      </c>
    </row>
    <row r="16" spans="1:45" s="25" customFormat="1">
      <c r="A16" s="4"/>
      <c r="B16" s="21">
        <f t="shared" si="2"/>
        <v>4</v>
      </c>
      <c r="C16" s="6" t="s">
        <v>2552</v>
      </c>
      <c r="D16" s="6" t="s">
        <v>2553</v>
      </c>
      <c r="E16" s="8"/>
      <c r="F16" s="7" t="s">
        <v>740</v>
      </c>
      <c r="G16" s="7" t="str">
        <f t="shared" si="3"/>
        <v>text</v>
      </c>
      <c r="H16" s="26">
        <v>0</v>
      </c>
      <c r="I16" s="10" t="s">
        <v>127</v>
      </c>
      <c r="J16" s="11"/>
      <c r="M16" s="4"/>
      <c r="N16" s="78"/>
      <c r="O16" s="78"/>
      <c r="P16" s="78" t="str">
        <f t="shared" si="4"/>
        <v>,new_f</v>
      </c>
      <c r="Q16" s="78" t="str">
        <f t="shared" si="0"/>
        <v>TEXT</v>
      </c>
      <c r="R16" s="78" t="str">
        <f t="shared" si="1"/>
        <v>default '0'</v>
      </c>
      <c r="S16" s="78" t="str">
        <f t="shared" si="5"/>
        <v>NOT NULL</v>
      </c>
      <c r="T16" s="78" t="str">
        <f t="shared" si="6"/>
        <v>-- 最新フラグ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milscm_2023_010.azn_202310_backup_mt2_price_kanren.new_f IS '最新フラグ';</v>
      </c>
    </row>
    <row r="17" spans="1:52" s="25" customFormat="1">
      <c r="A17" s="4"/>
      <c r="B17" s="21">
        <f t="shared" si="2"/>
        <v>5</v>
      </c>
      <c r="C17" s="6" t="s">
        <v>2579</v>
      </c>
      <c r="D17" s="6" t="s">
        <v>1949</v>
      </c>
      <c r="E17" s="8"/>
      <c r="F17" s="7" t="s">
        <v>740</v>
      </c>
      <c r="G17" s="7" t="str">
        <f t="shared" si="3"/>
        <v>text</v>
      </c>
      <c r="H17" s="26">
        <v>0</v>
      </c>
      <c r="I17" s="10" t="s">
        <v>127</v>
      </c>
      <c r="J17" s="11"/>
      <c r="M17" s="4"/>
      <c r="N17" s="78"/>
      <c r="O17" s="78"/>
      <c r="P17" s="78" t="str">
        <f t="shared" si="4"/>
        <v>,del_f</v>
      </c>
      <c r="Q17" s="78" t="str">
        <f t="shared" si="0"/>
        <v>TEXT</v>
      </c>
      <c r="R17" s="78" t="str">
        <f t="shared" si="1"/>
        <v>default '0'</v>
      </c>
      <c r="S17" s="78" t="str">
        <f t="shared" si="5"/>
        <v>NOT NULL</v>
      </c>
      <c r="T17" s="78" t="str">
        <f t="shared" si="6"/>
        <v>-- 削除フラグ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milscm_2023_010.azn_202310_backup_mt2_price_kanren.del_f IS '削除フラグ';</v>
      </c>
    </row>
    <row r="18" spans="1:52" s="25" customFormat="1" ht="37.5">
      <c r="A18" s="4"/>
      <c r="B18" s="21">
        <f t="shared" si="2"/>
        <v>6</v>
      </c>
      <c r="C18" s="6" t="s">
        <v>2012</v>
      </c>
      <c r="D18" s="6" t="s">
        <v>1951</v>
      </c>
      <c r="E18" s="8"/>
      <c r="F18" s="7" t="s">
        <v>740</v>
      </c>
      <c r="G18" s="7" t="str">
        <f t="shared" si="3"/>
        <v>text</v>
      </c>
      <c r="H18" s="26">
        <v>99999999</v>
      </c>
      <c r="I18" s="10" t="s">
        <v>127</v>
      </c>
      <c r="J18" s="11" t="s">
        <v>2653</v>
      </c>
      <c r="M18" s="4"/>
      <c r="N18" s="78"/>
      <c r="O18" s="78"/>
      <c r="P18" s="78" t="str">
        <f t="shared" si="4"/>
        <v>,henkou_ymd</v>
      </c>
      <c r="Q18" s="78" t="str">
        <f t="shared" si="0"/>
        <v>TEXT</v>
      </c>
      <c r="R18" s="78" t="str">
        <f t="shared" si="1"/>
        <v>default '99999999'</v>
      </c>
      <c r="S18" s="78" t="str">
        <f t="shared" si="5"/>
        <v>NOT NULL</v>
      </c>
      <c r="T18" s="78" t="str">
        <f t="shared" si="6"/>
        <v>-- 変更年月日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milscm_2023_010.azn_202310_backup_mt2_price_kanren.henkou_ymd IS '変更年月日';</v>
      </c>
    </row>
    <row r="19" spans="1:52" s="25" customFormat="1" ht="38.25" thickBot="1">
      <c r="A19" s="4"/>
      <c r="B19" s="27">
        <f>ROW()-12</f>
        <v>7</v>
      </c>
      <c r="C19" s="57" t="s">
        <v>1952</v>
      </c>
      <c r="D19" s="57" t="s">
        <v>1953</v>
      </c>
      <c r="E19" s="56"/>
      <c r="F19" s="56" t="s">
        <v>740</v>
      </c>
      <c r="G19" s="56" t="str">
        <f t="shared" si="3"/>
        <v>text</v>
      </c>
      <c r="H19" s="59">
        <v>99999999</v>
      </c>
      <c r="I19" s="60" t="s">
        <v>127</v>
      </c>
      <c r="J19" s="64" t="s">
        <v>2653</v>
      </c>
      <c r="N19" s="78"/>
      <c r="O19" s="78"/>
      <c r="P19" s="78" t="str">
        <f t="shared" si="4"/>
        <v>,del_ymd</v>
      </c>
      <c r="Q19" s="78" t="str">
        <f t="shared" si="0"/>
        <v>TEXT</v>
      </c>
      <c r="R19" s="78" t="str">
        <f t="shared" si="1"/>
        <v>default '99999999'</v>
      </c>
      <c r="S19" s="78" t="str">
        <f t="shared" si="5"/>
        <v>NOT NULL</v>
      </c>
      <c r="T19" s="78" t="str">
        <f t="shared" si="6"/>
        <v>-- 廃止年月日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milscm_2023_010.azn_202310_backup_mt2_price_kanren.del_ymd IS '廃止年月日';</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E00-000000000000}"/>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ENT_01_A4-09</v>
      </c>
      <c r="E6" s="239"/>
      <c r="F6" s="239"/>
      <c r="G6" s="239"/>
      <c r="H6" s="239"/>
      <c r="I6" s="239"/>
      <c r="J6" s="240"/>
    </row>
    <row r="7" spans="1:45">
      <c r="B7" s="228" t="s">
        <v>115</v>
      </c>
      <c r="C7" s="229"/>
      <c r="D7" s="230" t="s">
        <v>2654</v>
      </c>
      <c r="E7" s="231"/>
      <c r="F7" s="231"/>
      <c r="G7" s="231"/>
      <c r="H7" s="231"/>
      <c r="I7" s="231"/>
      <c r="J7" s="232"/>
    </row>
    <row r="8" spans="1:45">
      <c r="B8" s="228" t="s">
        <v>116</v>
      </c>
      <c r="C8" s="229"/>
      <c r="D8" s="230" t="str">
        <f>エンティティ一覧!AE2&amp;"_"&amp;D5&amp;"_mt2_shinryo_koi_kanren"</f>
        <v>azn_202310_backup_mt2_shinryo_koi_kanren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milscm_2023_010.azn_202310_backup_mt2_shinryo_koi_kanren;</v>
      </c>
      <c r="O10" s="78"/>
      <c r="P10" s="78"/>
      <c r="Q10" s="78"/>
      <c r="R10" s="78"/>
      <c r="S10" s="78"/>
      <c r="T10" s="78"/>
      <c r="AJ10" s="78" t="str">
        <f>"ALTER TABLE ONLY "&amp;エンティティ一覧!$O$2&amp;"."&amp;D$8</f>
        <v>ALTER TABLE ONLY milscm_2023_010.azn_202310_backup_mt2_shinryo_koi_kanren</v>
      </c>
      <c r="AS10" s="78" t="str">
        <f>"ALTER TABLE "&amp;エンティティ一覧!$O$2&amp;"."&amp;D$8&amp;" OWNER TO pgmisgrp1;"</f>
        <v>ALTER TABLE milscm_2023_010.azn_202310_backup_mt2_shinryo_koi_kanren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milscm_2023_010.azn_202310_backup_mt2_shinryo_koi_kanren</v>
      </c>
      <c r="O11" s="78"/>
      <c r="P11" s="78"/>
      <c r="Q11" s="78"/>
      <c r="R11" s="78"/>
      <c r="S11" s="78"/>
      <c r="T11" s="78"/>
      <c r="AJ11" s="78" t="str">
        <f>"ADD CONSTRAINT "&amp;D$8&amp;"_pkey PRIMARY KEY"</f>
        <v>ADD CONSTRAINT azn_202310_backup_mt2_shinryo_koi_kanren_pkey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milscm_2023_010.azn_202310_backup_mt2_shinryo_koi_kanren IS 'バックアップ_診療行為関連マスタ';</v>
      </c>
    </row>
    <row r="13" spans="1:45" s="25" customFormat="1">
      <c r="A13" s="4"/>
      <c r="B13" s="21">
        <f>ROW()-12</f>
        <v>1</v>
      </c>
      <c r="C13" s="6" t="s">
        <v>1170</v>
      </c>
      <c r="D13" s="6" t="s">
        <v>2655</v>
      </c>
      <c r="E13" s="8" t="s">
        <v>127</v>
      </c>
      <c r="F13" s="8" t="s">
        <v>740</v>
      </c>
      <c r="G13" s="7" t="str">
        <f>IF(F13="フラグ","boolean",IF(F13="文字列","text",IF(F13="整数","integer",IF(F13="実数","numeric",""))))</f>
        <v>text</v>
      </c>
      <c r="H13" s="9"/>
      <c r="I13" s="10" t="s">
        <v>127</v>
      </c>
      <c r="J13" s="11" t="s">
        <v>2671</v>
      </c>
      <c r="M13" s="4"/>
      <c r="N13" s="78"/>
      <c r="O13" s="78"/>
      <c r="P13" s="78" t="str">
        <f>IF(B13&lt;&gt;1,","&amp;D13,D13)</f>
        <v>shinryo_koi_cd</v>
      </c>
      <c r="Q13" s="78" t="str">
        <f t="shared" ref="Q13:Q26" si="0">UPPER(G13)</f>
        <v>TEXT</v>
      </c>
      <c r="R13" s="78" t="str">
        <f t="shared" ref="R13:R26" si="1">IF(H13&lt;&gt;"","default "&amp;IF(G13="text","'"&amp;H13&amp;"'",H13),"")</f>
        <v/>
      </c>
      <c r="S13" s="78" t="str">
        <f>IF(I13="○","NOT NULL","")</f>
        <v>NOT NULL</v>
      </c>
      <c r="T13" s="78" t="str">
        <f>"-- "&amp;C13</f>
        <v>-- 診療行為コード</v>
      </c>
      <c r="U13" s="4"/>
      <c r="AA13" s="4"/>
      <c r="AB13" s="4"/>
      <c r="AC13" s="4"/>
      <c r="AD13" s="4"/>
      <c r="AE13" s="4"/>
      <c r="AF13" s="4"/>
      <c r="AG13" s="4"/>
      <c r="AH13" s="4"/>
      <c r="AI13" s="4"/>
      <c r="AJ13" s="78" t="str">
        <f>IF(E13="○",IF(COUNTA(E$13:E13)=1,"",",")&amp;D13,"")</f>
        <v>shinryo_koi_cd</v>
      </c>
      <c r="AK13" s="4"/>
      <c r="AL13" s="4"/>
      <c r="AM13" s="4"/>
      <c r="AN13" s="4"/>
      <c r="AO13" s="4"/>
      <c r="AP13" s="4"/>
      <c r="AQ13" s="4"/>
      <c r="AR13" s="4"/>
      <c r="AS13" s="78" t="str">
        <f>"COMMENT ON COLUMN "&amp;エンティティ一覧!$O$2&amp;"."&amp;D$8&amp;"."&amp;D13&amp;" IS '"&amp;C13&amp;"';"</f>
        <v>COMMENT ON COLUMN milscm_2023_010.azn_202310_backup_mt2_shinryo_koi_kanren.shinryo_koi_cd IS '診療行為コード';</v>
      </c>
    </row>
    <row r="14" spans="1:45" s="25" customFormat="1">
      <c r="A14" s="4"/>
      <c r="B14" s="21">
        <f t="shared" ref="B14:B25" si="2">ROW()-12</f>
        <v>2</v>
      </c>
      <c r="C14" s="6" t="s">
        <v>2656</v>
      </c>
      <c r="D14" s="6" t="s">
        <v>2657</v>
      </c>
      <c r="E14" s="8"/>
      <c r="F14" s="7" t="s">
        <v>740</v>
      </c>
      <c r="G14" s="7" t="str">
        <f t="shared" ref="G14:G26" si="3">IF(F14="フラグ","boolean",IF(F14="文字列","text",IF(F14="整数","integer",IF(F14="実数","numeric",""))))</f>
        <v>text</v>
      </c>
      <c r="H14" s="26"/>
      <c r="I14" s="10"/>
      <c r="J14" s="11" t="s">
        <v>2671</v>
      </c>
      <c r="M14" s="4"/>
      <c r="N14" s="78"/>
      <c r="O14" s="78"/>
      <c r="P14" s="78" t="str">
        <f t="shared" ref="P14:P26" si="4">IF(B14&lt;&gt;1,","&amp;D14,D14)</f>
        <v>,cd_no</v>
      </c>
      <c r="Q14" s="78" t="str">
        <f t="shared" si="0"/>
        <v>TEXT</v>
      </c>
      <c r="R14" s="78" t="str">
        <f t="shared" si="1"/>
        <v/>
      </c>
      <c r="S14" s="78" t="str">
        <f t="shared" ref="S14:S26" si="5">IF(I14="○","NOT NULL","")</f>
        <v/>
      </c>
      <c r="T14" s="78" t="str">
        <f t="shared" ref="T14:T26" si="6">"-- "&amp;C14</f>
        <v>-- アルファベットコード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milscm_2023_010.azn_202310_backup_mt2_shinryo_koi_kanren.cd_no IS 'アルファベットコード';</v>
      </c>
    </row>
    <row r="15" spans="1:45" s="25" customFormat="1">
      <c r="A15" s="4"/>
      <c r="B15" s="21">
        <f t="shared" si="2"/>
        <v>3</v>
      </c>
      <c r="C15" s="6" t="s">
        <v>2658</v>
      </c>
      <c r="D15" s="6" t="s">
        <v>2659</v>
      </c>
      <c r="E15" s="8"/>
      <c r="F15" s="7" t="s">
        <v>740</v>
      </c>
      <c r="G15" s="7" t="str">
        <f t="shared" si="3"/>
        <v>text</v>
      </c>
      <c r="H15" s="26"/>
      <c r="I15" s="10"/>
      <c r="J15" s="11" t="s">
        <v>2671</v>
      </c>
      <c r="M15" s="4"/>
      <c r="N15" s="78"/>
      <c r="O15" s="78"/>
      <c r="P15" s="78" t="str">
        <f t="shared" si="4"/>
        <v>,cd_no_kubun</v>
      </c>
      <c r="Q15" s="78" t="str">
        <f t="shared" si="0"/>
        <v>TEXT</v>
      </c>
      <c r="R15" s="78" t="str">
        <f t="shared" si="1"/>
        <v/>
      </c>
      <c r="S15" s="78" t="str">
        <f t="shared" si="5"/>
        <v/>
      </c>
      <c r="T15" s="78" t="str">
        <f t="shared" si="6"/>
        <v>-- 区分番号</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milscm_2023_010.azn_202310_backup_mt2_shinryo_koi_kanren.cd_no_kubun IS '区分番号';</v>
      </c>
    </row>
    <row r="16" spans="1:45" s="25" customFormat="1">
      <c r="A16" s="4"/>
      <c r="B16" s="21">
        <f t="shared" si="2"/>
        <v>4</v>
      </c>
      <c r="C16" s="6" t="s">
        <v>2660</v>
      </c>
      <c r="D16" s="6" t="s">
        <v>2661</v>
      </c>
      <c r="E16" s="8"/>
      <c r="F16" s="7" t="s">
        <v>740</v>
      </c>
      <c r="G16" s="7" t="str">
        <f t="shared" si="3"/>
        <v>text</v>
      </c>
      <c r="H16" s="26"/>
      <c r="I16" s="10"/>
      <c r="J16" s="11" t="s">
        <v>2671</v>
      </c>
      <c r="M16" s="4"/>
      <c r="N16" s="78"/>
      <c r="O16" s="78"/>
      <c r="P16" s="78" t="str">
        <f t="shared" si="4"/>
        <v>,cd_no_eda</v>
      </c>
      <c r="Q16" s="78" t="str">
        <f t="shared" si="0"/>
        <v>TEXT</v>
      </c>
      <c r="R16" s="78" t="str">
        <f t="shared" si="1"/>
        <v/>
      </c>
      <c r="S16" s="78" t="str">
        <f t="shared" si="5"/>
        <v/>
      </c>
      <c r="T16" s="78" t="str">
        <f t="shared" si="6"/>
        <v>-- 枝番</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milscm_2023_010.azn_202310_backup_mt2_shinryo_koi_kanren.cd_no_eda IS '枝番';</v>
      </c>
    </row>
    <row r="17" spans="1:52" s="25" customFormat="1">
      <c r="A17" s="4"/>
      <c r="B17" s="21">
        <f t="shared" si="2"/>
        <v>5</v>
      </c>
      <c r="C17" s="6" t="s">
        <v>2476</v>
      </c>
      <c r="D17" s="6" t="s">
        <v>2662</v>
      </c>
      <c r="E17" s="8"/>
      <c r="F17" s="7" t="s">
        <v>740</v>
      </c>
      <c r="G17" s="7" t="str">
        <f t="shared" si="3"/>
        <v>text</v>
      </c>
      <c r="H17" s="26"/>
      <c r="I17" s="10"/>
      <c r="J17" s="11" t="s">
        <v>2671</v>
      </c>
      <c r="M17" s="4"/>
      <c r="N17" s="78"/>
      <c r="O17" s="78"/>
      <c r="P17" s="78" t="str">
        <f t="shared" si="4"/>
        <v>,cd_no_koh</v>
      </c>
      <c r="Q17" s="78" t="str">
        <f t="shared" si="0"/>
        <v>TEXT</v>
      </c>
      <c r="R17" s="78" t="str">
        <f t="shared" si="1"/>
        <v/>
      </c>
      <c r="S17" s="78" t="str">
        <f t="shared" si="5"/>
        <v/>
      </c>
      <c r="T17" s="78" t="str">
        <f t="shared" si="6"/>
        <v>-- 項番</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milscm_2023_010.azn_202310_backup_mt2_shinryo_koi_kanren.cd_no_koh IS '項番';</v>
      </c>
    </row>
    <row r="18" spans="1:52" s="25" customFormat="1">
      <c r="A18" s="4"/>
      <c r="B18" s="21">
        <f t="shared" si="2"/>
        <v>6</v>
      </c>
      <c r="C18" s="6" t="s">
        <v>2379</v>
      </c>
      <c r="D18" s="6" t="s">
        <v>2663</v>
      </c>
      <c r="E18" s="8"/>
      <c r="F18" s="7" t="s">
        <v>740</v>
      </c>
      <c r="G18" s="7" t="str">
        <f t="shared" si="3"/>
        <v>text</v>
      </c>
      <c r="H18" s="26"/>
      <c r="I18" s="10"/>
      <c r="J18" s="11" t="s">
        <v>2671</v>
      </c>
      <c r="M18" s="4"/>
      <c r="N18" s="78"/>
      <c r="O18" s="78"/>
      <c r="P18" s="78" t="str">
        <f t="shared" si="4"/>
        <v>,kubun_no</v>
      </c>
      <c r="Q18" s="78" t="str">
        <f t="shared" si="0"/>
        <v>TEXT</v>
      </c>
      <c r="R18" s="78" t="str">
        <f t="shared" si="1"/>
        <v/>
      </c>
      <c r="S18" s="78" t="str">
        <f t="shared" si="5"/>
        <v/>
      </c>
      <c r="T18" s="78" t="str">
        <f t="shared" si="6"/>
        <v>-- 点数表区分番号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milscm_2023_010.azn_202310_backup_mt2_shinryo_koi_kanren.kubun_no IS '点数表区分番号';</v>
      </c>
    </row>
    <row r="19" spans="1:52" s="25" customFormat="1" ht="56.25">
      <c r="A19" s="4"/>
      <c r="B19" s="21">
        <f t="shared" si="2"/>
        <v>7</v>
      </c>
      <c r="C19" s="6" t="s">
        <v>1174</v>
      </c>
      <c r="D19" s="6" t="s">
        <v>47</v>
      </c>
      <c r="E19" s="8"/>
      <c r="F19" s="7" t="s">
        <v>2650</v>
      </c>
      <c r="G19" s="7" t="str">
        <f t="shared" si="3"/>
        <v>numeric</v>
      </c>
      <c r="H19" s="26"/>
      <c r="I19" s="10" t="s">
        <v>127</v>
      </c>
      <c r="J19" s="11" t="s">
        <v>2668</v>
      </c>
      <c r="M19" s="4"/>
      <c r="N19" s="78"/>
      <c r="O19" s="78"/>
      <c r="P19" s="78" t="str">
        <f t="shared" si="4"/>
        <v>,point</v>
      </c>
      <c r="Q19" s="78" t="str">
        <f t="shared" si="0"/>
        <v>NUMERIC</v>
      </c>
      <c r="R19" s="78" t="str">
        <f t="shared" si="1"/>
        <v/>
      </c>
      <c r="S19" s="78" t="str">
        <f t="shared" si="5"/>
        <v>NOT NULL</v>
      </c>
      <c r="T19" s="78" t="str">
        <f t="shared" si="6"/>
        <v>-- 点数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milscm_2023_010.azn_202310_backup_mt2_shinryo_koi_kanren.point IS '点数';</v>
      </c>
    </row>
    <row r="20" spans="1:52" s="25" customFormat="1">
      <c r="A20" s="4"/>
      <c r="B20" s="21">
        <f t="shared" si="2"/>
        <v>8</v>
      </c>
      <c r="C20" s="6" t="s">
        <v>2664</v>
      </c>
      <c r="D20" s="6" t="s">
        <v>223</v>
      </c>
      <c r="E20" s="8"/>
      <c r="F20" s="7" t="s">
        <v>740</v>
      </c>
      <c r="G20" s="7" t="str">
        <f t="shared" si="3"/>
        <v>text</v>
      </c>
      <c r="H20" s="26"/>
      <c r="I20" s="10" t="s">
        <v>127</v>
      </c>
      <c r="J20" s="11" t="s">
        <v>2669</v>
      </c>
      <c r="M20" s="4"/>
      <c r="N20" s="78"/>
      <c r="O20" s="78"/>
      <c r="P20" s="78" t="str">
        <f t="shared" si="4"/>
        <v>,shinryo_koi_name</v>
      </c>
      <c r="Q20" s="78" t="str">
        <f t="shared" si="0"/>
        <v>TEXT</v>
      </c>
      <c r="R20" s="78" t="str">
        <f t="shared" si="1"/>
        <v/>
      </c>
      <c r="S20" s="78" t="str">
        <f t="shared" si="5"/>
        <v>NOT NULL</v>
      </c>
      <c r="T20" s="78" t="str">
        <f t="shared" si="6"/>
        <v>-- 診療行為省略名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milscm_2023_010.azn_202310_backup_mt2_shinryo_koi_kanren.shinryo_koi_name IS '診療行為省略名';</v>
      </c>
    </row>
    <row r="21" spans="1:52" s="25" customFormat="1">
      <c r="A21" s="4"/>
      <c r="B21" s="21">
        <f t="shared" si="2"/>
        <v>9</v>
      </c>
      <c r="C21" s="6" t="s">
        <v>2665</v>
      </c>
      <c r="D21" s="6" t="s">
        <v>2666</v>
      </c>
      <c r="E21" s="8"/>
      <c r="F21" s="7" t="s">
        <v>740</v>
      </c>
      <c r="G21" s="7" t="str">
        <f t="shared" si="3"/>
        <v>text</v>
      </c>
      <c r="H21" s="26"/>
      <c r="I21" s="10" t="s">
        <v>127</v>
      </c>
      <c r="J21" s="11" t="s">
        <v>2669</v>
      </c>
      <c r="M21" s="4"/>
      <c r="N21" s="78"/>
      <c r="O21" s="78"/>
      <c r="P21" s="78" t="str">
        <f t="shared" si="4"/>
        <v>,shinryo_koi_kihonname</v>
      </c>
      <c r="Q21" s="78" t="str">
        <f t="shared" si="0"/>
        <v>TEXT</v>
      </c>
      <c r="R21" s="78" t="str">
        <f t="shared" si="1"/>
        <v/>
      </c>
      <c r="S21" s="78" t="str">
        <f t="shared" si="5"/>
        <v>NOT NULL</v>
      </c>
      <c r="T21" s="78" t="str">
        <f t="shared" si="6"/>
        <v>-- 診療行為名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milscm_2023_010.azn_202310_backup_mt2_shinryo_koi_kanren.shinryo_koi_kihonname IS '診療行為名';</v>
      </c>
    </row>
    <row r="22" spans="1:52" s="25" customFormat="1" ht="37.5">
      <c r="A22" s="4"/>
      <c r="B22" s="21">
        <f t="shared" si="2"/>
        <v>10</v>
      </c>
      <c r="C22" s="6" t="s">
        <v>2667</v>
      </c>
      <c r="D22" s="6" t="s">
        <v>1926</v>
      </c>
      <c r="E22" s="8" t="s">
        <v>127</v>
      </c>
      <c r="F22" s="7" t="s">
        <v>740</v>
      </c>
      <c r="G22" s="7" t="str">
        <f t="shared" si="3"/>
        <v>text</v>
      </c>
      <c r="H22" s="26"/>
      <c r="I22" s="10" t="s">
        <v>127</v>
      </c>
      <c r="J22" s="11" t="s">
        <v>2670</v>
      </c>
      <c r="M22" s="4"/>
      <c r="N22" s="78"/>
      <c r="O22" s="78"/>
      <c r="P22" s="78" t="str">
        <f t="shared" si="4"/>
        <v>,update_ymd</v>
      </c>
      <c r="Q22" s="78" t="str">
        <f t="shared" si="0"/>
        <v>TEXT</v>
      </c>
      <c r="R22" s="78" t="str">
        <f t="shared" si="1"/>
        <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milscm_2023_010.azn_202310_backup_mt2_shinryo_koi_kanren.update_ymd IS 'データ登録日';</v>
      </c>
    </row>
    <row r="23" spans="1:52" s="25" customFormat="1">
      <c r="A23" s="4"/>
      <c r="B23" s="21">
        <f t="shared" si="2"/>
        <v>11</v>
      </c>
      <c r="C23" s="6" t="s">
        <v>2552</v>
      </c>
      <c r="D23" s="6" t="s">
        <v>2553</v>
      </c>
      <c r="E23" s="8"/>
      <c r="F23" s="7" t="s">
        <v>740</v>
      </c>
      <c r="G23" s="7" t="str">
        <f t="shared" si="3"/>
        <v>text</v>
      </c>
      <c r="H23" s="26">
        <v>0</v>
      </c>
      <c r="I23" s="10" t="s">
        <v>127</v>
      </c>
      <c r="J23" s="11"/>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milscm_2023_010.azn_202310_backup_mt2_shinryo_koi_kanren.new_f IS '最新フラグ';</v>
      </c>
    </row>
    <row r="24" spans="1:52" s="25" customFormat="1" ht="37.5">
      <c r="A24" s="4"/>
      <c r="B24" s="21">
        <f t="shared" si="2"/>
        <v>12</v>
      </c>
      <c r="C24" s="6" t="s">
        <v>2579</v>
      </c>
      <c r="D24" s="6" t="s">
        <v>1949</v>
      </c>
      <c r="E24" s="8"/>
      <c r="F24" s="7" t="s">
        <v>740</v>
      </c>
      <c r="G24" s="7" t="str">
        <f t="shared" si="3"/>
        <v>text</v>
      </c>
      <c r="H24" s="26">
        <v>0</v>
      </c>
      <c r="I24" s="10" t="s">
        <v>127</v>
      </c>
      <c r="J24" s="11" t="s">
        <v>2672</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milscm_2023_010.azn_202310_backup_mt2_shinryo_koi_kanren.del_f IS '削除フラグ';</v>
      </c>
    </row>
    <row r="25" spans="1:52" s="25" customFormat="1" ht="37.5">
      <c r="A25" s="4"/>
      <c r="B25" s="21">
        <f t="shared" si="2"/>
        <v>13</v>
      </c>
      <c r="C25" s="6" t="s">
        <v>2012</v>
      </c>
      <c r="D25" s="6" t="s">
        <v>1951</v>
      </c>
      <c r="E25" s="8"/>
      <c r="F25" s="7" t="s">
        <v>740</v>
      </c>
      <c r="G25" s="7" t="str">
        <f t="shared" si="3"/>
        <v>text</v>
      </c>
      <c r="H25" s="26">
        <v>99999999</v>
      </c>
      <c r="I25" s="10" t="s">
        <v>127</v>
      </c>
      <c r="J25" s="11" t="s">
        <v>2670</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milscm_2023_010.azn_202310_backup_mt2_shinryo_koi_kanren.henkou_ymd IS '変更年月日';</v>
      </c>
    </row>
    <row r="26" spans="1:52" s="25" customFormat="1" ht="38.25" thickBot="1">
      <c r="A26" s="4"/>
      <c r="B26" s="27">
        <f>ROW()-12</f>
        <v>14</v>
      </c>
      <c r="C26" s="57" t="s">
        <v>1952</v>
      </c>
      <c r="D26" s="57" t="s">
        <v>1953</v>
      </c>
      <c r="E26" s="56"/>
      <c r="F26" s="56" t="s">
        <v>740</v>
      </c>
      <c r="G26" s="56" t="str">
        <f t="shared" si="3"/>
        <v>text</v>
      </c>
      <c r="H26" s="59">
        <v>99999999</v>
      </c>
      <c r="I26" s="60" t="s">
        <v>127</v>
      </c>
      <c r="J26" s="64" t="s">
        <v>2673</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milscm_2023_010.azn_202310_backup_mt2_shinryo_koi_kanren.del_ymd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3F00-000000000000}"/>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ENT_01_A4-10</v>
      </c>
      <c r="E6" s="239"/>
      <c r="F6" s="239"/>
      <c r="G6" s="239"/>
      <c r="H6" s="239"/>
      <c r="I6" s="239"/>
      <c r="J6" s="240"/>
    </row>
    <row r="7" spans="1:45">
      <c r="B7" s="228" t="s">
        <v>115</v>
      </c>
      <c r="C7" s="229"/>
      <c r="D7" s="230" t="s">
        <v>2674</v>
      </c>
      <c r="E7" s="231"/>
      <c r="F7" s="231"/>
      <c r="G7" s="231"/>
      <c r="H7" s="231"/>
      <c r="I7" s="231"/>
      <c r="J7" s="232"/>
    </row>
    <row r="8" spans="1:45">
      <c r="B8" s="228" t="s">
        <v>116</v>
      </c>
      <c r="C8" s="229"/>
      <c r="D8" s="230" t="str">
        <f>エンティティ一覧!AE2&amp;"_"&amp;D5&amp;"_mt2_tokutei_kizai_kanren"</f>
        <v>azn_202310_backup_mt2_tokutei_kizai_kanren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milscm_2023_010.azn_202310_backup_mt2_tokutei_kizai_kanren;</v>
      </c>
      <c r="O10" s="78"/>
      <c r="P10" s="78"/>
      <c r="Q10" s="78"/>
      <c r="R10" s="78"/>
      <c r="S10" s="78"/>
      <c r="T10" s="78"/>
      <c r="AJ10" s="78" t="str">
        <f>"ALTER TABLE ONLY "&amp;エンティティ一覧!$O$2&amp;"."&amp;D$8</f>
        <v>ALTER TABLE ONLY milscm_2023_010.azn_202310_backup_mt2_tokutei_kizai_kanren</v>
      </c>
      <c r="AS10" s="78" t="str">
        <f>"ALTER TABLE "&amp;エンティティ一覧!$O$2&amp;"."&amp;D$8&amp;" OWNER TO pgmisgrp1;"</f>
        <v>ALTER TABLE milscm_2023_010.azn_202310_backup_mt2_tokutei_kizai_kanren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milscm_2023_010.azn_202310_backup_mt2_tokutei_kizai_kanren</v>
      </c>
      <c r="O11" s="78"/>
      <c r="P11" s="78"/>
      <c r="Q11" s="78"/>
      <c r="R11" s="78"/>
      <c r="S11" s="78"/>
      <c r="T11" s="78"/>
      <c r="AJ11" s="78" t="str">
        <f>"ADD CONSTRAINT "&amp;D$8&amp;"_pkey PRIMARY KEY"</f>
        <v>ADD CONSTRAINT azn_202310_backup_mt2_tokutei_kizai_kanren_pkey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milscm_2023_010.azn_202310_backup_mt2_tokutei_kizai_kanren IS 'バックアップ_特定器材関連マスタ';</v>
      </c>
    </row>
    <row r="13" spans="1:45" s="25" customFormat="1">
      <c r="A13" s="4"/>
      <c r="B13" s="21">
        <f>ROW()-12</f>
        <v>1</v>
      </c>
      <c r="C13" s="6" t="s">
        <v>2675</v>
      </c>
      <c r="D13" s="6" t="s">
        <v>2676</v>
      </c>
      <c r="E13" s="8" t="s">
        <v>127</v>
      </c>
      <c r="F13" s="8" t="s">
        <v>740</v>
      </c>
      <c r="G13" s="7" t="str">
        <f>IF(F13="フラグ","boolean",IF(F13="文字列","text",IF(F13="整数","integer",IF(F13="実数","numeric",""))))</f>
        <v>text</v>
      </c>
      <c r="H13" s="9"/>
      <c r="I13" s="10" t="s">
        <v>127</v>
      </c>
      <c r="J13" s="11" t="s">
        <v>2681</v>
      </c>
      <c r="M13" s="4"/>
      <c r="N13" s="78"/>
      <c r="O13" s="78"/>
      <c r="P13" s="78" t="str">
        <f>IF(B13&lt;&gt;1,","&amp;D13,D13)</f>
        <v>tokutei_kizai_cd</v>
      </c>
      <c r="Q13" s="78" t="str">
        <f t="shared" ref="Q13:Q21" si="0">UPPER(G13)</f>
        <v>TEXT</v>
      </c>
      <c r="R13" s="78" t="str">
        <f t="shared" ref="R13:R21" si="1">IF(H13&lt;&gt;"","default "&amp;IF(G13="text","'"&amp;H13&amp;"'",H13),"")</f>
        <v/>
      </c>
      <c r="S13" s="78" t="str">
        <f>IF(I13="○","NOT NULL","")</f>
        <v>NOT NULL</v>
      </c>
      <c r="T13" s="78" t="str">
        <f>"-- "&amp;C13</f>
        <v>-- 特定器材コード</v>
      </c>
      <c r="U13" s="4"/>
      <c r="AA13" s="4"/>
      <c r="AB13" s="4"/>
      <c r="AC13" s="4"/>
      <c r="AD13" s="4"/>
      <c r="AE13" s="4"/>
      <c r="AF13" s="4"/>
      <c r="AG13" s="4"/>
      <c r="AH13" s="4"/>
      <c r="AI13" s="4"/>
      <c r="AJ13" s="78" t="str">
        <f>IF(E13="○",IF(COUNTA(E$13:E13)=1,"",",")&amp;D13,"")</f>
        <v>tokutei_kizai_cd</v>
      </c>
      <c r="AK13" s="4"/>
      <c r="AL13" s="4"/>
      <c r="AM13" s="4"/>
      <c r="AN13" s="4"/>
      <c r="AO13" s="4"/>
      <c r="AP13" s="4"/>
      <c r="AQ13" s="4"/>
      <c r="AR13" s="4"/>
      <c r="AS13" s="78" t="str">
        <f>"COMMENT ON COLUMN "&amp;エンティティ一覧!$O$2&amp;"."&amp;D$8&amp;"."&amp;D13&amp;" IS '"&amp;C13&amp;"';"</f>
        <v>COMMENT ON COLUMN milscm_2023_010.azn_202310_backup_mt2_tokutei_kizai_kanren.tokutei_kizai_cd IS '特定器材コード';</v>
      </c>
    </row>
    <row r="14" spans="1:45" s="25" customFormat="1">
      <c r="A14" s="4"/>
      <c r="B14" s="21">
        <f t="shared" ref="B14:B20" si="2">ROW()-12</f>
        <v>2</v>
      </c>
      <c r="C14" s="6" t="s">
        <v>2677</v>
      </c>
      <c r="D14" s="6" t="s">
        <v>2678</v>
      </c>
      <c r="E14" s="8"/>
      <c r="F14" s="7" t="s">
        <v>740</v>
      </c>
      <c r="G14" s="7" t="str">
        <f t="shared" ref="G14:G21" si="3">IF(F14="フラグ","boolean",IF(F14="文字列","text",IF(F14="整数","integer",IF(F14="実数","numeric",""))))</f>
        <v>text</v>
      </c>
      <c r="H14" s="26"/>
      <c r="I14" s="10" t="s">
        <v>127</v>
      </c>
      <c r="J14" s="11" t="s">
        <v>2681</v>
      </c>
      <c r="M14" s="4"/>
      <c r="N14" s="78"/>
      <c r="O14" s="78"/>
      <c r="P14" s="78" t="str">
        <f t="shared" ref="P14:P21" si="4">IF(B14&lt;&gt;1,","&amp;D14,D14)</f>
        <v>,tokutei_kizai_name</v>
      </c>
      <c r="Q14" s="78" t="str">
        <f t="shared" si="0"/>
        <v>TEXT</v>
      </c>
      <c r="R14" s="78" t="str">
        <f t="shared" si="1"/>
        <v/>
      </c>
      <c r="S14" s="78" t="str">
        <f t="shared" ref="S14:S21" si="5">IF(I14="○","NOT NULL","")</f>
        <v>NOT NULL</v>
      </c>
      <c r="T14" s="78" t="str">
        <f t="shared" ref="T14:T21" si="6">"-- "&amp;C14</f>
        <v>-- 特定器材名・規格名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milscm_2023_010.azn_202310_backup_mt2_tokutei_kizai_kanren.tokutei_kizai_name IS '特定器材名・規格名';</v>
      </c>
    </row>
    <row r="15" spans="1:45" s="25" customFormat="1">
      <c r="A15" s="4"/>
      <c r="B15" s="21">
        <f t="shared" si="2"/>
        <v>3</v>
      </c>
      <c r="C15" s="6" t="s">
        <v>1696</v>
      </c>
      <c r="D15" s="6" t="s">
        <v>2679</v>
      </c>
      <c r="E15" s="8"/>
      <c r="F15" s="7" t="s">
        <v>740</v>
      </c>
      <c r="G15" s="7" t="str">
        <f t="shared" si="3"/>
        <v>text</v>
      </c>
      <c r="H15" s="26"/>
      <c r="I15" s="10"/>
      <c r="J15" s="11" t="s">
        <v>2681</v>
      </c>
      <c r="M15" s="4"/>
      <c r="N15" s="78"/>
      <c r="O15" s="78"/>
      <c r="P15" s="78" t="str">
        <f t="shared" si="4"/>
        <v>,tokutei_kizai_tani</v>
      </c>
      <c r="Q15" s="78" t="str">
        <f t="shared" si="0"/>
        <v>TEXT</v>
      </c>
      <c r="R15" s="78" t="str">
        <f t="shared" si="1"/>
        <v/>
      </c>
      <c r="S15" s="78" t="str">
        <f t="shared" si="5"/>
        <v/>
      </c>
      <c r="T15" s="78" t="str">
        <f t="shared" si="6"/>
        <v>-- 単位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milscm_2023_010.azn_202310_backup_mt2_tokutei_kizai_kanren.tokutei_kizai_tani IS '単位';</v>
      </c>
    </row>
    <row r="16" spans="1:45" s="25" customFormat="1" ht="56.25">
      <c r="A16" s="4"/>
      <c r="B16" s="21">
        <f t="shared" si="2"/>
        <v>4</v>
      </c>
      <c r="C16" s="6" t="s">
        <v>2680</v>
      </c>
      <c r="D16" s="6" t="s">
        <v>2649</v>
      </c>
      <c r="E16" s="8"/>
      <c r="F16" s="7" t="s">
        <v>2650</v>
      </c>
      <c r="G16" s="7" t="str">
        <f t="shared" si="3"/>
        <v>numeric</v>
      </c>
      <c r="H16" s="26"/>
      <c r="I16" s="10" t="s">
        <v>127</v>
      </c>
      <c r="J16" s="11" t="s">
        <v>2682</v>
      </c>
      <c r="M16" s="4"/>
      <c r="N16" s="78"/>
      <c r="O16" s="78"/>
      <c r="P16" s="78" t="str">
        <f t="shared" si="4"/>
        <v>,price</v>
      </c>
      <c r="Q16" s="78" t="str">
        <f t="shared" si="0"/>
        <v>NUMERIC</v>
      </c>
      <c r="R16" s="78" t="str">
        <f t="shared" si="1"/>
        <v/>
      </c>
      <c r="S16" s="78" t="str">
        <f t="shared" si="5"/>
        <v>NOT NULL</v>
      </c>
      <c r="T16" s="78" t="str">
        <f t="shared" si="6"/>
        <v>-- 金額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milscm_2023_010.azn_202310_backup_mt2_tokutei_kizai_kanren.price IS '金額';</v>
      </c>
    </row>
    <row r="17" spans="1:52" s="25" customFormat="1">
      <c r="A17" s="4"/>
      <c r="B17" s="21">
        <f t="shared" si="2"/>
        <v>5</v>
      </c>
      <c r="C17" s="6" t="s">
        <v>1958</v>
      </c>
      <c r="D17" s="6" t="s">
        <v>1959</v>
      </c>
      <c r="E17" s="8" t="s">
        <v>127</v>
      </c>
      <c r="F17" s="7" t="s">
        <v>740</v>
      </c>
      <c r="G17" s="7" t="str">
        <f t="shared" si="3"/>
        <v>text</v>
      </c>
      <c r="H17" s="26">
        <v>99999999</v>
      </c>
      <c r="I17" s="10" t="s">
        <v>127</v>
      </c>
      <c r="J17" s="11"/>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milscm_2023_010.azn_202310_backup_mt2_tokutei_kizai_kanren.siko_ymd IS '施行年月日';</v>
      </c>
    </row>
    <row r="18" spans="1:52" s="25" customFormat="1">
      <c r="A18" s="4"/>
      <c r="B18" s="21">
        <f t="shared" si="2"/>
        <v>6</v>
      </c>
      <c r="C18" s="6" t="s">
        <v>2552</v>
      </c>
      <c r="D18" s="6" t="s">
        <v>2553</v>
      </c>
      <c r="E18" s="8"/>
      <c r="F18" s="7" t="s">
        <v>740</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milscm_2023_010.azn_202310_backup_mt2_tokutei_kizai_kanren.new_f IS '最新フラグ';</v>
      </c>
    </row>
    <row r="19" spans="1:52" s="25" customFormat="1" ht="37.5">
      <c r="A19" s="4"/>
      <c r="B19" s="21">
        <f t="shared" si="2"/>
        <v>7</v>
      </c>
      <c r="C19" s="6" t="s">
        <v>2579</v>
      </c>
      <c r="D19" s="6" t="s">
        <v>1949</v>
      </c>
      <c r="E19" s="8"/>
      <c r="F19" s="7" t="s">
        <v>740</v>
      </c>
      <c r="G19" s="7" t="str">
        <f t="shared" si="3"/>
        <v>text</v>
      </c>
      <c r="H19" s="26">
        <v>0</v>
      </c>
      <c r="I19" s="10" t="s">
        <v>127</v>
      </c>
      <c r="J19" s="11" t="s">
        <v>2683</v>
      </c>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milscm_2023_010.azn_202310_backup_mt2_tokutei_kizai_kanren.del_f IS '削除フラグ';</v>
      </c>
    </row>
    <row r="20" spans="1:52" s="25" customFormat="1" ht="37.5">
      <c r="A20" s="4"/>
      <c r="B20" s="21">
        <f t="shared" si="2"/>
        <v>8</v>
      </c>
      <c r="C20" s="6" t="s">
        <v>2012</v>
      </c>
      <c r="D20" s="6" t="s">
        <v>1951</v>
      </c>
      <c r="E20" s="8"/>
      <c r="F20" s="7" t="s">
        <v>740</v>
      </c>
      <c r="G20" s="7" t="str">
        <f t="shared" si="3"/>
        <v>text</v>
      </c>
      <c r="H20" s="26">
        <v>99999999</v>
      </c>
      <c r="I20" s="10" t="s">
        <v>127</v>
      </c>
      <c r="J20" s="11" t="s">
        <v>2684</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milscm_2023_010.azn_202310_backup_mt2_tokutei_kizai_kanren.henkou_ymd IS '変更年月日';</v>
      </c>
    </row>
    <row r="21" spans="1:52" s="25" customFormat="1" ht="57" thickBot="1">
      <c r="A21" s="4"/>
      <c r="B21" s="27">
        <f>ROW()-12</f>
        <v>9</v>
      </c>
      <c r="C21" s="57" t="s">
        <v>1952</v>
      </c>
      <c r="D21" s="57" t="s">
        <v>1953</v>
      </c>
      <c r="E21" s="56"/>
      <c r="F21" s="56" t="s">
        <v>740</v>
      </c>
      <c r="G21" s="56" t="str">
        <f t="shared" si="3"/>
        <v>text</v>
      </c>
      <c r="H21" s="59">
        <v>99999999</v>
      </c>
      <c r="I21" s="60" t="s">
        <v>127</v>
      </c>
      <c r="J21" s="64" t="s">
        <v>2685</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milscm_2023_010.azn_202310_backup_mt2_tokutei_kizai_kanren.del_ymd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000-000000000000}"/>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ENT_01_A4-11</v>
      </c>
      <c r="E6" s="239"/>
      <c r="F6" s="239"/>
      <c r="G6" s="239"/>
      <c r="H6" s="239"/>
      <c r="I6" s="239"/>
      <c r="J6" s="240"/>
    </row>
    <row r="7" spans="1:45">
      <c r="B7" s="228" t="s">
        <v>115</v>
      </c>
      <c r="C7" s="229"/>
      <c r="D7" s="230" t="s">
        <v>2686</v>
      </c>
      <c r="E7" s="231"/>
      <c r="F7" s="231"/>
      <c r="G7" s="231"/>
      <c r="H7" s="231"/>
      <c r="I7" s="231"/>
      <c r="J7" s="232"/>
    </row>
    <row r="8" spans="1:45">
      <c r="B8" s="228" t="s">
        <v>116</v>
      </c>
      <c r="C8" s="229"/>
      <c r="D8" s="230" t="str">
        <f>エンティティ一覧!AE2&amp;"_"&amp;D5&amp;"_mt2_dpc_kanren"</f>
        <v>azn_202310_backup_mt2_dpc_kanren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milscm_2023_010.azn_202310_backup_mt2_dpc_kanren;</v>
      </c>
      <c r="O10" s="78"/>
      <c r="P10" s="78"/>
      <c r="Q10" s="78"/>
      <c r="R10" s="78"/>
      <c r="S10" s="78"/>
      <c r="T10" s="78"/>
      <c r="AJ10" s="78" t="str">
        <f>"ALTER TABLE ONLY "&amp;エンティティ一覧!$O$2&amp;"."&amp;D$8</f>
        <v>ALTER TABLE ONLY milscm_2023_010.azn_202310_backup_mt2_dpc_kanren</v>
      </c>
      <c r="AS10" s="78" t="str">
        <f>"ALTER TABLE "&amp;エンティティ一覧!$O$2&amp;"."&amp;D$8&amp;" OWNER TO pgmisgrp1;"</f>
        <v>ALTER TABLE milscm_2023_010.azn_202310_backup_mt2_dpc_kanren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milscm_2023_010.azn_202310_backup_mt2_dpc_kanren</v>
      </c>
      <c r="O11" s="78"/>
      <c r="P11" s="78"/>
      <c r="Q11" s="78"/>
      <c r="R11" s="78"/>
      <c r="S11" s="78"/>
      <c r="T11" s="78"/>
      <c r="AJ11" s="78" t="str">
        <f>"ADD CONSTRAINT "&amp;D$8&amp;"_pkey PRIMARY KEY"</f>
        <v>ADD CONSTRAINT azn_202310_backup_mt2_dpc_kanren_pkey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milscm_2023_010.azn_202310_backup_mt2_dpc_kanren IS 'バックアップ_DPC関連マスタ';</v>
      </c>
    </row>
    <row r="13" spans="1:45" s="25" customFormat="1">
      <c r="A13" s="4"/>
      <c r="B13" s="21">
        <f>ROW()-12</f>
        <v>1</v>
      </c>
      <c r="C13" s="6" t="s">
        <v>1973</v>
      </c>
      <c r="D13" s="6" t="s">
        <v>1974</v>
      </c>
      <c r="E13" s="8"/>
      <c r="F13" s="8" t="s">
        <v>740</v>
      </c>
      <c r="G13" s="7" t="str">
        <f>IF(F13="フラグ","boolean",IF(F13="文字列","text",IF(F13="整数","integer",IF(F13="実数","numeric",""))))</f>
        <v>text</v>
      </c>
      <c r="H13" s="9"/>
      <c r="I13" s="10" t="s">
        <v>127</v>
      </c>
      <c r="J13" s="11" t="s">
        <v>2691</v>
      </c>
      <c r="M13" s="4"/>
      <c r="N13" s="78"/>
      <c r="O13" s="78"/>
      <c r="P13" s="78" t="str">
        <f>IF(B13&lt;&gt;1,","&amp;D13,D13)</f>
        <v>dpc2_cd</v>
      </c>
      <c r="Q13" s="78" t="str">
        <f t="shared" ref="Q13:Q21" si="0">UPPER(G13)</f>
        <v>TEXT</v>
      </c>
      <c r="R13" s="78" t="str">
        <f t="shared" ref="R13:R21" si="1">IF(H13&lt;&gt;"","default "&amp;IF(G13="text","'"&amp;H13&amp;"'",H13),"")</f>
        <v/>
      </c>
      <c r="S13" s="78" t="str">
        <f>IF(I13="○","NOT NULL","")</f>
        <v>NOT NULL</v>
      </c>
      <c r="T13" s="78" t="str">
        <f>"-- "&amp;C13</f>
        <v>-- DPCコード2桁</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milscm_2023_010.azn_202310_backup_mt2_dpc_kanren.dpc2_cd IS 'DPCコード2桁';</v>
      </c>
    </row>
    <row r="14" spans="1:45" s="25" customFormat="1">
      <c r="A14" s="4"/>
      <c r="B14" s="21">
        <f t="shared" ref="B14:B20" si="2">ROW()-12</f>
        <v>2</v>
      </c>
      <c r="C14" s="6" t="s">
        <v>2687</v>
      </c>
      <c r="D14" s="6" t="s">
        <v>2688</v>
      </c>
      <c r="E14" s="8"/>
      <c r="F14" s="7" t="s">
        <v>740</v>
      </c>
      <c r="G14" s="7" t="str">
        <f t="shared" ref="G14:G21" si="3">IF(F14="フラグ","boolean",IF(F14="文字列","text",IF(F14="整数","integer",IF(F14="実数","numeric",""))))</f>
        <v>text</v>
      </c>
      <c r="H14" s="26"/>
      <c r="I14" s="10" t="s">
        <v>127</v>
      </c>
      <c r="J14" s="11" t="s">
        <v>2691</v>
      </c>
      <c r="M14" s="4"/>
      <c r="N14" s="78"/>
      <c r="O14" s="78"/>
      <c r="P14" s="78" t="str">
        <f t="shared" ref="P14:P21" si="4">IF(B14&lt;&gt;1,","&amp;D14,D14)</f>
        <v>,dpc2_name</v>
      </c>
      <c r="Q14" s="78" t="str">
        <f t="shared" si="0"/>
        <v>TEXT</v>
      </c>
      <c r="R14" s="78" t="str">
        <f t="shared" si="1"/>
        <v/>
      </c>
      <c r="S14" s="78" t="str">
        <f t="shared" ref="S14:S21" si="5">IF(I14="○","NOT NULL","")</f>
        <v>NOT NULL</v>
      </c>
      <c r="T14" s="78" t="str">
        <f t="shared" ref="T14:T21" si="6">"-- "&amp;C14</f>
        <v>-- DPC2桁名</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milscm_2023_010.azn_202310_backup_mt2_dpc_kanren.dpc2_name IS 'DPC2桁名';</v>
      </c>
    </row>
    <row r="15" spans="1:45" s="25" customFormat="1" ht="37.5">
      <c r="A15" s="4"/>
      <c r="B15" s="21">
        <f t="shared" si="2"/>
        <v>3</v>
      </c>
      <c r="C15" s="6" t="s">
        <v>1975</v>
      </c>
      <c r="D15" s="6" t="s">
        <v>1976</v>
      </c>
      <c r="E15" s="8" t="s">
        <v>127</v>
      </c>
      <c r="F15" s="7" t="s">
        <v>740</v>
      </c>
      <c r="G15" s="7" t="str">
        <f t="shared" si="3"/>
        <v>text</v>
      </c>
      <c r="H15" s="26"/>
      <c r="I15" s="10" t="s">
        <v>127</v>
      </c>
      <c r="J15" s="11" t="s">
        <v>2692</v>
      </c>
      <c r="M15" s="4"/>
      <c r="N15" s="78"/>
      <c r="O15" s="78"/>
      <c r="P15" s="78" t="str">
        <f t="shared" si="4"/>
        <v>,dpc6_cd</v>
      </c>
      <c r="Q15" s="78" t="str">
        <f t="shared" si="0"/>
        <v>TEXT</v>
      </c>
      <c r="R15" s="78" t="str">
        <f t="shared" si="1"/>
        <v/>
      </c>
      <c r="S15" s="78" t="str">
        <f t="shared" si="5"/>
        <v>NOT NULL</v>
      </c>
      <c r="T15" s="78" t="str">
        <f t="shared" si="6"/>
        <v>-- DPCコード6桁</v>
      </c>
      <c r="U15" s="4"/>
      <c r="AA15" s="4"/>
      <c r="AB15" s="4"/>
      <c r="AC15" s="4"/>
      <c r="AD15" s="4"/>
      <c r="AE15" s="4"/>
      <c r="AF15" s="4"/>
      <c r="AG15" s="4"/>
      <c r="AH15" s="4"/>
      <c r="AI15" s="4"/>
      <c r="AJ15" s="78" t="str">
        <f>IF(E15="○",IF(COUNTA(E$13:E15)=1,"",",")&amp;D15,"")</f>
        <v>dpc6_cd</v>
      </c>
      <c r="AK15" s="4"/>
      <c r="AL15" s="4"/>
      <c r="AM15" s="4"/>
      <c r="AN15" s="4"/>
      <c r="AO15" s="4"/>
      <c r="AP15" s="4"/>
      <c r="AQ15" s="4"/>
      <c r="AR15" s="4"/>
      <c r="AS15" s="78" t="str">
        <f>"COMMENT ON COLUMN "&amp;エンティティ一覧!$O$2&amp;"."&amp;D$8&amp;"."&amp;D15&amp;" IS '"&amp;C15&amp;"';"</f>
        <v>COMMENT ON COLUMN milscm_2023_010.azn_202310_backup_mt2_dpc_kanren.dpc6_cd IS 'DPCコード6桁';</v>
      </c>
    </row>
    <row r="16" spans="1:45" s="25" customFormat="1">
      <c r="A16" s="4"/>
      <c r="B16" s="21">
        <f t="shared" si="2"/>
        <v>4</v>
      </c>
      <c r="C16" s="6" t="s">
        <v>2689</v>
      </c>
      <c r="D16" s="6" t="s">
        <v>2690</v>
      </c>
      <c r="E16" s="8"/>
      <c r="F16" s="7" t="s">
        <v>740</v>
      </c>
      <c r="G16" s="7" t="str">
        <f t="shared" si="3"/>
        <v>text</v>
      </c>
      <c r="H16" s="26"/>
      <c r="I16" s="10" t="s">
        <v>127</v>
      </c>
      <c r="J16" s="11" t="s">
        <v>2693</v>
      </c>
      <c r="M16" s="4"/>
      <c r="N16" s="78"/>
      <c r="O16" s="78"/>
      <c r="P16" s="78" t="str">
        <f t="shared" si="4"/>
        <v>,dpc6_name</v>
      </c>
      <c r="Q16" s="78" t="str">
        <f t="shared" si="0"/>
        <v>TEXT</v>
      </c>
      <c r="R16" s="78" t="str">
        <f t="shared" si="1"/>
        <v/>
      </c>
      <c r="S16" s="78" t="str">
        <f t="shared" si="5"/>
        <v>NOT NULL</v>
      </c>
      <c r="T16" s="78" t="str">
        <f t="shared" si="6"/>
        <v>-- DPC6桁名</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milscm_2023_010.azn_202310_backup_mt2_dpc_kanren.dpc6_name IS 'DPC6桁名';</v>
      </c>
    </row>
    <row r="17" spans="1:52" s="25" customFormat="1" ht="37.5">
      <c r="A17" s="4"/>
      <c r="B17" s="21">
        <f t="shared" si="2"/>
        <v>5</v>
      </c>
      <c r="C17" s="6" t="s">
        <v>1958</v>
      </c>
      <c r="D17" s="6" t="s">
        <v>1959</v>
      </c>
      <c r="E17" s="8" t="s">
        <v>127</v>
      </c>
      <c r="F17" s="7" t="s">
        <v>740</v>
      </c>
      <c r="G17" s="7" t="str">
        <f t="shared" si="3"/>
        <v>text</v>
      </c>
      <c r="H17" s="26">
        <v>99999999</v>
      </c>
      <c r="I17" s="10" t="s">
        <v>127</v>
      </c>
      <c r="J17" s="11" t="s">
        <v>2694</v>
      </c>
      <c r="M17" s="4"/>
      <c r="N17" s="78"/>
      <c r="O17" s="78"/>
      <c r="P17" s="78" t="str">
        <f t="shared" si="4"/>
        <v>,siko_ymd</v>
      </c>
      <c r="Q17" s="78" t="str">
        <f t="shared" si="0"/>
        <v>TEXT</v>
      </c>
      <c r="R17" s="78" t="str">
        <f t="shared" si="1"/>
        <v>default '99999999'</v>
      </c>
      <c r="S17" s="78" t="str">
        <f t="shared" si="5"/>
        <v>NOT NULL</v>
      </c>
      <c r="T17" s="78" t="str">
        <f t="shared" si="6"/>
        <v>-- 施行年月日</v>
      </c>
      <c r="U17" s="4"/>
      <c r="AA17" s="4"/>
      <c r="AB17" s="4"/>
      <c r="AC17" s="4"/>
      <c r="AD17" s="4"/>
      <c r="AE17" s="4"/>
      <c r="AF17" s="4"/>
      <c r="AG17" s="4"/>
      <c r="AH17" s="4"/>
      <c r="AI17" s="4"/>
      <c r="AJ17" s="78" t="str">
        <f>IF(E17="○",IF(COUNTA(E$13:E17)=1,"",",")&amp;D17,"")</f>
        <v>,siko_ymd</v>
      </c>
      <c r="AK17" s="4"/>
      <c r="AL17" s="4"/>
      <c r="AM17" s="4"/>
      <c r="AN17" s="4"/>
      <c r="AO17" s="4"/>
      <c r="AP17" s="4"/>
      <c r="AQ17" s="4"/>
      <c r="AR17" s="4"/>
      <c r="AS17" s="78" t="str">
        <f>"COMMENT ON COLUMN "&amp;エンティティ一覧!$O$2&amp;"."&amp;D$8&amp;"."&amp;D17&amp;" IS '"&amp;C17&amp;"';"</f>
        <v>COMMENT ON COLUMN milscm_2023_010.azn_202310_backup_mt2_dpc_kanren.siko_ymd IS '施行年月日';</v>
      </c>
    </row>
    <row r="18" spans="1:52" s="25" customFormat="1">
      <c r="A18" s="4"/>
      <c r="B18" s="21">
        <f t="shared" si="2"/>
        <v>6</v>
      </c>
      <c r="C18" s="6" t="s">
        <v>2552</v>
      </c>
      <c r="D18" s="6" t="s">
        <v>2553</v>
      </c>
      <c r="E18" s="8"/>
      <c r="F18" s="7" t="s">
        <v>740</v>
      </c>
      <c r="G18" s="7" t="str">
        <f t="shared" si="3"/>
        <v>text</v>
      </c>
      <c r="H18" s="26">
        <v>0</v>
      </c>
      <c r="I18" s="10" t="s">
        <v>127</v>
      </c>
      <c r="J18" s="11"/>
      <c r="M18" s="4"/>
      <c r="N18" s="78"/>
      <c r="O18" s="78"/>
      <c r="P18" s="78" t="str">
        <f t="shared" si="4"/>
        <v>,new_f</v>
      </c>
      <c r="Q18" s="78" t="str">
        <f t="shared" si="0"/>
        <v>TEXT</v>
      </c>
      <c r="R18" s="78" t="str">
        <f t="shared" si="1"/>
        <v>default '0'</v>
      </c>
      <c r="S18" s="78" t="str">
        <f t="shared" si="5"/>
        <v>NOT NULL</v>
      </c>
      <c r="T18" s="78" t="str">
        <f t="shared" si="6"/>
        <v>-- 最新フラグ</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milscm_2023_010.azn_202310_backup_mt2_dpc_kanren.new_f IS '最新フラグ';</v>
      </c>
    </row>
    <row r="19" spans="1:52" s="25" customFormat="1">
      <c r="A19" s="4"/>
      <c r="B19" s="21">
        <f t="shared" si="2"/>
        <v>7</v>
      </c>
      <c r="C19" s="6" t="s">
        <v>2579</v>
      </c>
      <c r="D19" s="6" t="s">
        <v>1949</v>
      </c>
      <c r="E19" s="8"/>
      <c r="F19" s="7" t="s">
        <v>740</v>
      </c>
      <c r="G19" s="7" t="str">
        <f t="shared" si="3"/>
        <v>text</v>
      </c>
      <c r="H19" s="26">
        <v>0</v>
      </c>
      <c r="I19" s="10" t="s">
        <v>127</v>
      </c>
      <c r="J19" s="11"/>
      <c r="M19" s="4"/>
      <c r="N19" s="78"/>
      <c r="O19" s="78"/>
      <c r="P19" s="78" t="str">
        <f t="shared" si="4"/>
        <v>,del_f</v>
      </c>
      <c r="Q19" s="78" t="str">
        <f t="shared" si="0"/>
        <v>TEXT</v>
      </c>
      <c r="R19" s="78" t="str">
        <f t="shared" si="1"/>
        <v>default '0'</v>
      </c>
      <c r="S19" s="78" t="str">
        <f t="shared" si="5"/>
        <v>NOT NULL</v>
      </c>
      <c r="T19" s="78" t="str">
        <f t="shared" si="6"/>
        <v>-- 削除フラグ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milscm_2023_010.azn_202310_backup_mt2_dpc_kanren.del_f IS '削除フラグ';</v>
      </c>
    </row>
    <row r="20" spans="1:52" s="25" customFormat="1" ht="37.5">
      <c r="A20" s="4"/>
      <c r="B20" s="21">
        <f t="shared" si="2"/>
        <v>8</v>
      </c>
      <c r="C20" s="6" t="s">
        <v>2012</v>
      </c>
      <c r="D20" s="6" t="s">
        <v>1951</v>
      </c>
      <c r="E20" s="8"/>
      <c r="F20" s="7" t="s">
        <v>740</v>
      </c>
      <c r="G20" s="7" t="str">
        <f t="shared" si="3"/>
        <v>text</v>
      </c>
      <c r="H20" s="26">
        <v>99999999</v>
      </c>
      <c r="I20" s="10" t="s">
        <v>127</v>
      </c>
      <c r="J20" s="11" t="s">
        <v>2694</v>
      </c>
      <c r="M20" s="4"/>
      <c r="N20" s="78"/>
      <c r="O20" s="78"/>
      <c r="P20" s="78" t="str">
        <f t="shared" si="4"/>
        <v>,henkou_ymd</v>
      </c>
      <c r="Q20" s="78" t="str">
        <f t="shared" si="0"/>
        <v>TEXT</v>
      </c>
      <c r="R20" s="78" t="str">
        <f t="shared" si="1"/>
        <v>default '99999999'</v>
      </c>
      <c r="S20" s="78" t="str">
        <f t="shared" si="5"/>
        <v>NOT NULL</v>
      </c>
      <c r="T20" s="78" t="str">
        <f t="shared" si="6"/>
        <v>-- 変更年月日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milscm_2023_010.azn_202310_backup_mt2_dpc_kanren.henkou_ymd IS '変更年月日';</v>
      </c>
    </row>
    <row r="21" spans="1:52" s="25" customFormat="1" ht="38.25" thickBot="1">
      <c r="A21" s="4"/>
      <c r="B21" s="27">
        <f>ROW()-12</f>
        <v>9</v>
      </c>
      <c r="C21" s="57" t="s">
        <v>1952</v>
      </c>
      <c r="D21" s="57" t="s">
        <v>1953</v>
      </c>
      <c r="E21" s="56"/>
      <c r="F21" s="56" t="s">
        <v>740</v>
      </c>
      <c r="G21" s="56" t="str">
        <f t="shared" si="3"/>
        <v>text</v>
      </c>
      <c r="H21" s="59">
        <v>99999999</v>
      </c>
      <c r="I21" s="60" t="s">
        <v>127</v>
      </c>
      <c r="J21" s="64" t="s">
        <v>2694</v>
      </c>
      <c r="N21" s="78"/>
      <c r="O21" s="78"/>
      <c r="P21" s="78" t="str">
        <f t="shared" si="4"/>
        <v>,del_ymd</v>
      </c>
      <c r="Q21" s="78" t="str">
        <f t="shared" si="0"/>
        <v>TEXT</v>
      </c>
      <c r="R21" s="78" t="str">
        <f t="shared" si="1"/>
        <v>default '99999999'</v>
      </c>
      <c r="S21" s="78" t="str">
        <f t="shared" si="5"/>
        <v>NOT NULL</v>
      </c>
      <c r="T21" s="78" t="str">
        <f t="shared" si="6"/>
        <v>-- 廃止年月日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milscm_2023_010.azn_202310_backup_mt2_dpc_kanren.del_ymd IS '廃止年月日';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100-000000000000}"/>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Z5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ENT_01_A4-12</v>
      </c>
      <c r="E6" s="239"/>
      <c r="F6" s="239"/>
      <c r="G6" s="239"/>
      <c r="H6" s="239"/>
      <c r="I6" s="239"/>
      <c r="J6" s="240"/>
    </row>
    <row r="7" spans="1:45">
      <c r="B7" s="228" t="s">
        <v>115</v>
      </c>
      <c r="C7" s="229"/>
      <c r="D7" s="230" t="s">
        <v>2695</v>
      </c>
      <c r="E7" s="231"/>
      <c r="F7" s="231"/>
      <c r="G7" s="231"/>
      <c r="H7" s="231"/>
      <c r="I7" s="231"/>
      <c r="J7" s="232"/>
    </row>
    <row r="8" spans="1:45">
      <c r="B8" s="228" t="s">
        <v>116</v>
      </c>
      <c r="C8" s="229"/>
      <c r="D8" s="230" t="str">
        <f>エンティティ一覧!AE2&amp;"_"&amp;D5&amp;"_mt2_shikkan_kanren"</f>
        <v>azn_202310_backup_mt2_shikkan_kanren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疾患関連マスタテーブルから組入れ条件の第一条件で絞り込んだ結果を格納するテーブル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milscm_2023_010.azn_202310_backup_mt2_shikkan_kanren;</v>
      </c>
      <c r="O10" s="78"/>
      <c r="P10" s="78"/>
      <c r="Q10" s="78"/>
      <c r="R10" s="78"/>
      <c r="S10" s="78"/>
      <c r="T10" s="78"/>
      <c r="AJ10" s="78" t="str">
        <f>"ALTER TABLE ONLY "&amp;エンティティ一覧!$O$2&amp;"."&amp;D$8</f>
        <v>ALTER TABLE ONLY milscm_2023_010.azn_202310_backup_mt2_shikkan_kanren</v>
      </c>
      <c r="AS10" s="78" t="str">
        <f>"ALTER TABLE "&amp;エンティティ一覧!$O$2&amp;"."&amp;D$8&amp;" OWNER TO pgmisgrp1;"</f>
        <v>ALTER TABLE milscm_2023_010.azn_202310_backup_mt2_shikkan_kanren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milscm_2023_010.azn_202310_backup_mt2_shikkan_kanren</v>
      </c>
      <c r="O11" s="78"/>
      <c r="P11" s="78"/>
      <c r="Q11" s="78"/>
      <c r="R11" s="78"/>
      <c r="S11" s="78"/>
      <c r="T11" s="78"/>
      <c r="AJ11" s="78" t="str">
        <f>"ADD CONSTRAINT "&amp;D$8&amp;"_pkey PRIMARY KEY"</f>
        <v>ADD CONSTRAINT azn_202310_backup_mt2_shikkan_kanren_pkey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milscm_2023_010.azn_202310_backup_mt2_shikkan_kanren IS 'バックアップ_疾患関連マスタ';</v>
      </c>
    </row>
    <row r="13" spans="1:45" s="25" customFormat="1">
      <c r="A13" s="4"/>
      <c r="B13" s="21">
        <f>ROW()-12</f>
        <v>1</v>
      </c>
      <c r="C13" s="6" t="s">
        <v>2696</v>
      </c>
      <c r="D13" s="6" t="s">
        <v>2697</v>
      </c>
      <c r="E13" s="8" t="s">
        <v>127</v>
      </c>
      <c r="F13" s="8" t="s">
        <v>740</v>
      </c>
      <c r="G13" s="7" t="str">
        <f>IF(F13="フラグ","boolean",IF(F13="文字列","text",IF(F13="整数","integer",IF(F13="実数","numeric",""))))</f>
        <v>text</v>
      </c>
      <c r="H13" s="9"/>
      <c r="I13" s="10" t="s">
        <v>127</v>
      </c>
      <c r="J13" s="11" t="s">
        <v>2716</v>
      </c>
      <c r="M13" s="4"/>
      <c r="N13" s="78"/>
      <c r="O13" s="78"/>
      <c r="P13" s="78" t="str">
        <f>IF(B13&lt;&gt;1,","&amp;D13,D13)</f>
        <v>shikkan_cd</v>
      </c>
      <c r="Q13" s="78" t="str">
        <f t="shared" ref="Q13:Q28" si="0">UPPER(G13)</f>
        <v>TEXT</v>
      </c>
      <c r="R13" s="78" t="str">
        <f t="shared" ref="R13:R28" si="1">IF(H13&lt;&gt;"","default "&amp;IF(G13="text","'"&amp;H13&amp;"'",H13),"")</f>
        <v/>
      </c>
      <c r="S13" s="78" t="str">
        <f>IF(I13="○","NOT NULL","")</f>
        <v>NOT NULL</v>
      </c>
      <c r="T13" s="78" t="str">
        <f>"-- "&amp;C13</f>
        <v>-- 疾患コード</v>
      </c>
      <c r="U13" s="4"/>
      <c r="AA13" s="4"/>
      <c r="AB13" s="4"/>
      <c r="AC13" s="4"/>
      <c r="AD13" s="4"/>
      <c r="AE13" s="4"/>
      <c r="AF13" s="4"/>
      <c r="AG13" s="4"/>
      <c r="AH13" s="4"/>
      <c r="AI13" s="4"/>
      <c r="AJ13" s="78" t="str">
        <f>IF(E13="○",IF(COUNTA(E$13:E13)=1,"",",")&amp;D13,"")</f>
        <v>shikkan_cd</v>
      </c>
      <c r="AK13" s="4"/>
      <c r="AL13" s="4"/>
      <c r="AM13" s="4"/>
      <c r="AN13" s="4"/>
      <c r="AO13" s="4"/>
      <c r="AP13" s="4"/>
      <c r="AQ13" s="4"/>
      <c r="AR13" s="4"/>
      <c r="AS13" s="78" t="str">
        <f>"COMMENT ON COLUMN "&amp;エンティティ一覧!$O$2&amp;"."&amp;D$8&amp;"."&amp;D13&amp;" IS '"&amp;C13&amp;"';"</f>
        <v>COMMENT ON COLUMN milscm_2023_010.azn_202310_backup_mt2_shikkan_kanren.shikkan_cd IS '疾患コード';</v>
      </c>
    </row>
    <row r="14" spans="1:45" s="25" customFormat="1">
      <c r="A14" s="4"/>
      <c r="B14" s="21">
        <f t="shared" ref="B14:B27" si="2">ROW()-12</f>
        <v>2</v>
      </c>
      <c r="C14" s="6" t="s">
        <v>2698</v>
      </c>
      <c r="D14" s="6" t="s">
        <v>2699</v>
      </c>
      <c r="E14" s="8"/>
      <c r="F14" s="7" t="s">
        <v>740</v>
      </c>
      <c r="G14" s="7" t="str">
        <f t="shared" ref="G14:G28" si="3">IF(F14="フラグ","boolean",IF(F14="文字列","text",IF(F14="整数","integer",IF(F14="実数","numeric",""))))</f>
        <v>text</v>
      </c>
      <c r="H14" s="26"/>
      <c r="I14" s="10"/>
      <c r="J14" s="11" t="s">
        <v>2716</v>
      </c>
      <c r="M14" s="4"/>
      <c r="N14" s="78"/>
      <c r="O14" s="78"/>
      <c r="P14" s="78" t="str">
        <f t="shared" ref="P14:P28" si="4">IF(B14&lt;&gt;1,","&amp;D14,D14)</f>
        <v>,icd10_l_cd</v>
      </c>
      <c r="Q14" s="78" t="str">
        <f t="shared" si="0"/>
        <v>TEXT</v>
      </c>
      <c r="R14" s="78" t="str">
        <f t="shared" si="1"/>
        <v/>
      </c>
      <c r="S14" s="78" t="str">
        <f t="shared" ref="S14:S28" si="5">IF(I14="○","NOT NULL","")</f>
        <v/>
      </c>
      <c r="T14" s="78" t="str">
        <f t="shared" ref="T14:T28" si="6">"-- "&amp;C14</f>
        <v>-- ICD10大分類コード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milscm_2023_010.azn_202310_backup_mt2_shikkan_kanren.icd10_l_cd IS 'ICD10大分類コード';</v>
      </c>
    </row>
    <row r="15" spans="1:45" s="25" customFormat="1">
      <c r="A15" s="4"/>
      <c r="B15" s="21">
        <f t="shared" si="2"/>
        <v>3</v>
      </c>
      <c r="C15" s="6" t="s">
        <v>2700</v>
      </c>
      <c r="D15" s="6" t="s">
        <v>2701</v>
      </c>
      <c r="E15" s="8"/>
      <c r="F15" s="7" t="s">
        <v>740</v>
      </c>
      <c r="G15" s="7" t="str">
        <f t="shared" si="3"/>
        <v>text</v>
      </c>
      <c r="H15" s="26"/>
      <c r="I15" s="10"/>
      <c r="J15" s="11" t="s">
        <v>2716</v>
      </c>
      <c r="M15" s="4"/>
      <c r="N15" s="78"/>
      <c r="O15" s="78"/>
      <c r="P15" s="78" t="str">
        <f t="shared" si="4"/>
        <v>,icd10_m_cd</v>
      </c>
      <c r="Q15" s="78" t="str">
        <f t="shared" si="0"/>
        <v>TEXT</v>
      </c>
      <c r="R15" s="78" t="str">
        <f t="shared" si="1"/>
        <v/>
      </c>
      <c r="S15" s="78" t="str">
        <f t="shared" si="5"/>
        <v/>
      </c>
      <c r="T15" s="78" t="str">
        <f t="shared" si="6"/>
        <v>-- ICD10中分類コード</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milscm_2023_010.azn_202310_backup_mt2_shikkan_kanren.icd10_m_cd IS 'ICD10中分類コード';</v>
      </c>
    </row>
    <row r="16" spans="1:45" s="25" customFormat="1">
      <c r="A16" s="4"/>
      <c r="B16" s="21">
        <f t="shared" si="2"/>
        <v>4</v>
      </c>
      <c r="C16" s="6" t="s">
        <v>2702</v>
      </c>
      <c r="D16" s="6" t="s">
        <v>900</v>
      </c>
      <c r="E16" s="8"/>
      <c r="F16" s="7" t="s">
        <v>740</v>
      </c>
      <c r="G16" s="7" t="str">
        <f t="shared" si="3"/>
        <v>text</v>
      </c>
      <c r="H16" s="26"/>
      <c r="I16" s="10"/>
      <c r="J16" s="11" t="s">
        <v>2716</v>
      </c>
      <c r="M16" s="4"/>
      <c r="N16" s="78"/>
      <c r="O16" s="78"/>
      <c r="P16" s="78" t="str">
        <f t="shared" si="4"/>
        <v>,icd10_s_cd</v>
      </c>
      <c r="Q16" s="78" t="str">
        <f t="shared" si="0"/>
        <v>TEXT</v>
      </c>
      <c r="R16" s="78" t="str">
        <f t="shared" si="1"/>
        <v/>
      </c>
      <c r="S16" s="78" t="str">
        <f t="shared" si="5"/>
        <v/>
      </c>
      <c r="T16" s="78" t="str">
        <f t="shared" si="6"/>
        <v>-- ICD10小分類コード</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milscm_2023_010.azn_202310_backup_mt2_shikkan_kanren.icd10_s_cd IS 'ICD10小分類コード';</v>
      </c>
    </row>
    <row r="17" spans="1:52" s="25" customFormat="1">
      <c r="A17" s="4"/>
      <c r="B17" s="21">
        <f t="shared" si="2"/>
        <v>5</v>
      </c>
      <c r="C17" s="6" t="s">
        <v>2703</v>
      </c>
      <c r="D17" s="6" t="s">
        <v>2704</v>
      </c>
      <c r="E17" s="8"/>
      <c r="F17" s="7" t="s">
        <v>740</v>
      </c>
      <c r="G17" s="7" t="str">
        <f t="shared" si="3"/>
        <v>text</v>
      </c>
      <c r="H17" s="26"/>
      <c r="I17" s="10"/>
      <c r="J17" s="11" t="s">
        <v>2716</v>
      </c>
      <c r="M17" s="4"/>
      <c r="N17" s="78"/>
      <c r="O17" s="78"/>
      <c r="P17" s="78" t="str">
        <f t="shared" si="4"/>
        <v>,icd10_ss_cd</v>
      </c>
      <c r="Q17" s="78" t="str">
        <f t="shared" si="0"/>
        <v>TEXT</v>
      </c>
      <c r="R17" s="78" t="str">
        <f t="shared" si="1"/>
        <v/>
      </c>
      <c r="S17" s="78" t="str">
        <f t="shared" si="5"/>
        <v/>
      </c>
      <c r="T17" s="78" t="str">
        <f t="shared" si="6"/>
        <v>-- ICD10細分類コード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milscm_2023_010.azn_202310_backup_mt2_shikkan_kanren.icd10_ss_cd IS 'ICD10細分類コード';</v>
      </c>
    </row>
    <row r="18" spans="1:52" s="25" customFormat="1">
      <c r="A18" s="4"/>
      <c r="B18" s="21">
        <f t="shared" si="2"/>
        <v>6</v>
      </c>
      <c r="C18" s="6" t="s">
        <v>2132</v>
      </c>
      <c r="D18" s="6" t="s">
        <v>2133</v>
      </c>
      <c r="E18" s="8"/>
      <c r="F18" s="7" t="s">
        <v>740</v>
      </c>
      <c r="G18" s="7" t="str">
        <f t="shared" si="3"/>
        <v>text</v>
      </c>
      <c r="H18" s="26"/>
      <c r="I18" s="10" t="s">
        <v>127</v>
      </c>
      <c r="J18" s="11" t="s">
        <v>2716</v>
      </c>
      <c r="M18" s="4"/>
      <c r="N18" s="78"/>
      <c r="O18" s="78"/>
      <c r="P18" s="78" t="str">
        <f t="shared" si="4"/>
        <v>,shikkan_name</v>
      </c>
      <c r="Q18" s="78" t="str">
        <f t="shared" si="0"/>
        <v>TEXT</v>
      </c>
      <c r="R18" s="78" t="str">
        <f t="shared" si="1"/>
        <v/>
      </c>
      <c r="S18" s="78" t="str">
        <f t="shared" si="5"/>
        <v>NOT NULL</v>
      </c>
      <c r="T18" s="78" t="str">
        <f t="shared" si="6"/>
        <v>-- 疾患名</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milscm_2023_010.azn_202310_backup_mt2_shikkan_kanren.shikkan_name IS '疾患名';</v>
      </c>
    </row>
    <row r="19" spans="1:52" s="25" customFormat="1">
      <c r="A19" s="4"/>
      <c r="B19" s="21">
        <f t="shared" si="2"/>
        <v>7</v>
      </c>
      <c r="C19" s="6" t="s">
        <v>2705</v>
      </c>
      <c r="D19" s="6" t="s">
        <v>2706</v>
      </c>
      <c r="E19" s="8"/>
      <c r="F19" s="7" t="s">
        <v>740</v>
      </c>
      <c r="G19" s="7" t="str">
        <f t="shared" si="3"/>
        <v>text</v>
      </c>
      <c r="H19" s="26"/>
      <c r="I19" s="10"/>
      <c r="J19" s="11" t="s">
        <v>2717</v>
      </c>
      <c r="M19" s="4"/>
      <c r="N19" s="78"/>
      <c r="O19" s="78"/>
      <c r="P19" s="78" t="str">
        <f t="shared" si="4"/>
        <v>,icd10_l_name</v>
      </c>
      <c r="Q19" s="78" t="str">
        <f t="shared" si="0"/>
        <v>TEXT</v>
      </c>
      <c r="R19" s="78" t="str">
        <f t="shared" si="1"/>
        <v/>
      </c>
      <c r="S19" s="78" t="str">
        <f t="shared" si="5"/>
        <v/>
      </c>
      <c r="T19" s="78" t="str">
        <f t="shared" si="6"/>
        <v>-- ICD10大分類名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milscm_2023_010.azn_202310_backup_mt2_shikkan_kanren.icd10_l_name IS 'ICD10大分類名';</v>
      </c>
    </row>
    <row r="20" spans="1:52" s="25" customFormat="1">
      <c r="A20" s="4"/>
      <c r="B20" s="21">
        <f t="shared" si="2"/>
        <v>8</v>
      </c>
      <c r="C20" s="6" t="s">
        <v>2707</v>
      </c>
      <c r="D20" s="6" t="s">
        <v>2708</v>
      </c>
      <c r="E20" s="8"/>
      <c r="F20" s="7" t="s">
        <v>740</v>
      </c>
      <c r="G20" s="7" t="str">
        <f t="shared" ref="G20:G26" si="7">IF(F20="フラグ","boolean",IF(F20="文字列","text",IF(F20="整数","integer",IF(F20="実数","numeric",""))))</f>
        <v>text</v>
      </c>
      <c r="H20" s="26"/>
      <c r="I20" s="10"/>
      <c r="J20" s="11" t="s">
        <v>2718</v>
      </c>
      <c r="M20" s="4"/>
      <c r="N20" s="78"/>
      <c r="O20" s="78"/>
      <c r="P20" s="78" t="str">
        <f t="shared" ref="P20:P26" si="8">IF(B20&lt;&gt;1,","&amp;D20,D20)</f>
        <v>,icd10_m_name</v>
      </c>
      <c r="Q20" s="78" t="str">
        <f t="shared" ref="Q20:Q26" si="9">UPPER(G20)</f>
        <v>TEXT</v>
      </c>
      <c r="R20" s="78" t="str">
        <f t="shared" ref="R20:R26" si="10">IF(H20&lt;&gt;"","default "&amp;IF(G20="text","'"&amp;H20&amp;"'",H20),"")</f>
        <v/>
      </c>
      <c r="S20" s="78" t="str">
        <f t="shared" ref="S20:S26" si="11">IF(I20="○","NOT NULL","")</f>
        <v/>
      </c>
      <c r="T20" s="78" t="str">
        <f t="shared" ref="T20:T26" si="12">"-- "&amp;C20</f>
        <v>-- ICD10中分類名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milscm_2023_010.azn_202310_backup_mt2_shikkan_kanren.icd10_m_name IS 'ICD10中分類名';</v>
      </c>
    </row>
    <row r="21" spans="1:52" s="25" customFormat="1">
      <c r="A21" s="4"/>
      <c r="B21" s="21">
        <f t="shared" si="2"/>
        <v>9</v>
      </c>
      <c r="C21" s="6" t="s">
        <v>2709</v>
      </c>
      <c r="D21" s="6" t="s">
        <v>901</v>
      </c>
      <c r="E21" s="8"/>
      <c r="F21" s="7" t="s">
        <v>740</v>
      </c>
      <c r="G21" s="7" t="str">
        <f t="shared" si="7"/>
        <v>text</v>
      </c>
      <c r="H21" s="26"/>
      <c r="I21" s="10"/>
      <c r="J21" s="11" t="s">
        <v>2719</v>
      </c>
      <c r="M21" s="4"/>
      <c r="N21" s="78"/>
      <c r="O21" s="78"/>
      <c r="P21" s="78" t="str">
        <f t="shared" si="8"/>
        <v>,icd10_s_name</v>
      </c>
      <c r="Q21" s="78" t="str">
        <f t="shared" si="9"/>
        <v>TEXT</v>
      </c>
      <c r="R21" s="78" t="str">
        <f t="shared" si="10"/>
        <v/>
      </c>
      <c r="S21" s="78" t="str">
        <f t="shared" si="11"/>
        <v/>
      </c>
      <c r="T21" s="78" t="str">
        <f t="shared" si="12"/>
        <v>-- ICD10小分類名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milscm_2023_010.azn_202310_backup_mt2_shikkan_kanren.icd10_s_name IS 'ICD10小分類名';</v>
      </c>
    </row>
    <row r="22" spans="1:52" s="25" customFormat="1">
      <c r="A22" s="4"/>
      <c r="B22" s="21">
        <f t="shared" si="2"/>
        <v>10</v>
      </c>
      <c r="C22" s="6" t="s">
        <v>2710</v>
      </c>
      <c r="D22" s="6" t="s">
        <v>2711</v>
      </c>
      <c r="E22" s="8"/>
      <c r="F22" s="7" t="s">
        <v>740</v>
      </c>
      <c r="G22" s="7" t="str">
        <f t="shared" si="7"/>
        <v>text</v>
      </c>
      <c r="H22" s="26"/>
      <c r="I22" s="10"/>
      <c r="J22" s="11" t="s">
        <v>2720</v>
      </c>
      <c r="M22" s="4"/>
      <c r="N22" s="78"/>
      <c r="O22" s="78"/>
      <c r="P22" s="78" t="str">
        <f t="shared" si="8"/>
        <v>,icd10_ss_name</v>
      </c>
      <c r="Q22" s="78" t="str">
        <f t="shared" si="9"/>
        <v>TEXT</v>
      </c>
      <c r="R22" s="78" t="str">
        <f t="shared" si="10"/>
        <v/>
      </c>
      <c r="S22" s="78" t="str">
        <f t="shared" si="11"/>
        <v/>
      </c>
      <c r="T22" s="78" t="str">
        <f t="shared" si="12"/>
        <v>-- ICD10細分類名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milscm_2023_010.azn_202310_backup_mt2_shikkan_kanren.icd10_ss_name IS 'ICD10細分類名';</v>
      </c>
    </row>
    <row r="23" spans="1:52" s="25" customFormat="1" ht="56.25">
      <c r="A23" s="4"/>
      <c r="B23" s="21">
        <f t="shared" si="2"/>
        <v>11</v>
      </c>
      <c r="C23" s="6" t="s">
        <v>2712</v>
      </c>
      <c r="D23" s="6" t="s">
        <v>2713</v>
      </c>
      <c r="E23" s="8" t="s">
        <v>127</v>
      </c>
      <c r="F23" s="7" t="s">
        <v>740</v>
      </c>
      <c r="G23" s="7" t="str">
        <f t="shared" si="7"/>
        <v>text</v>
      </c>
      <c r="H23" s="26">
        <v>0</v>
      </c>
      <c r="I23" s="10"/>
      <c r="J23" s="11" t="s">
        <v>2721</v>
      </c>
      <c r="M23" s="4"/>
      <c r="N23" s="78"/>
      <c r="O23" s="78"/>
      <c r="P23" s="78" t="str">
        <f t="shared" si="8"/>
        <v>,icd10_kubun</v>
      </c>
      <c r="Q23" s="78" t="str">
        <f t="shared" si="9"/>
        <v>TEXT</v>
      </c>
      <c r="R23" s="78" t="str">
        <f t="shared" si="10"/>
        <v>default '0'</v>
      </c>
      <c r="S23" s="78" t="str">
        <f t="shared" si="11"/>
        <v/>
      </c>
      <c r="T23" s="78" t="str">
        <f t="shared" si="12"/>
        <v>-- ICD10区分</v>
      </c>
      <c r="U23" s="4"/>
      <c r="AA23" s="4"/>
      <c r="AB23" s="4"/>
      <c r="AC23" s="4"/>
      <c r="AD23" s="4"/>
      <c r="AE23" s="4"/>
      <c r="AF23" s="4"/>
      <c r="AG23" s="4"/>
      <c r="AH23" s="4"/>
      <c r="AI23" s="4"/>
      <c r="AJ23" s="78" t="str">
        <f>IF(E23="○",IF(COUNTA(E$13:E23)=1,"",",")&amp;D23,"")</f>
        <v>,icd10_kubun</v>
      </c>
      <c r="AK23" s="4"/>
      <c r="AL23" s="4"/>
      <c r="AM23" s="4"/>
      <c r="AN23" s="4"/>
      <c r="AO23" s="4"/>
      <c r="AP23" s="4"/>
      <c r="AQ23" s="4"/>
      <c r="AR23" s="4"/>
      <c r="AS23" s="78" t="str">
        <f>"COMMENT ON COLUMN "&amp;エンティティ一覧!$O$2&amp;"."&amp;D$8&amp;"."&amp;D23&amp;" IS '"&amp;C23&amp;"';"</f>
        <v>COMMENT ON COLUMN milscm_2023_010.azn_202310_backup_mt2_shikkan_kanren.icd10_kubun IS 'ICD10区分';</v>
      </c>
    </row>
    <row r="24" spans="1:52" s="25" customFormat="1" ht="37.5">
      <c r="A24" s="4"/>
      <c r="B24" s="21">
        <f t="shared" si="2"/>
        <v>12</v>
      </c>
      <c r="C24" s="6" t="s">
        <v>2714</v>
      </c>
      <c r="D24" s="6" t="s">
        <v>1959</v>
      </c>
      <c r="E24" s="8" t="s">
        <v>127</v>
      </c>
      <c r="F24" s="7" t="s">
        <v>740</v>
      </c>
      <c r="G24" s="7" t="str">
        <f t="shared" si="7"/>
        <v>text</v>
      </c>
      <c r="H24" s="26">
        <v>99999999</v>
      </c>
      <c r="I24" s="10" t="s">
        <v>127</v>
      </c>
      <c r="J24" s="11" t="s">
        <v>2722</v>
      </c>
      <c r="M24" s="4"/>
      <c r="N24" s="78"/>
      <c r="O24" s="78"/>
      <c r="P24" s="78" t="str">
        <f t="shared" si="8"/>
        <v>,siko_ymd</v>
      </c>
      <c r="Q24" s="78" t="str">
        <f t="shared" si="9"/>
        <v>TEXT</v>
      </c>
      <c r="R24" s="78" t="str">
        <f t="shared" si="10"/>
        <v>default '99999999'</v>
      </c>
      <c r="S24" s="78" t="str">
        <f t="shared" si="11"/>
        <v>NOT NULL</v>
      </c>
      <c r="T24" s="78" t="str">
        <f t="shared" si="12"/>
        <v>-- 施行年月日</v>
      </c>
      <c r="U24" s="4"/>
      <c r="AA24" s="4"/>
      <c r="AB24" s="4"/>
      <c r="AC24" s="4"/>
      <c r="AD24" s="4"/>
      <c r="AE24" s="4"/>
      <c r="AF24" s="4"/>
      <c r="AG24" s="4"/>
      <c r="AH24" s="4"/>
      <c r="AI24" s="4"/>
      <c r="AJ24" s="78" t="str">
        <f>IF(E24="○",IF(COUNTA(E$13:E24)=1,"",",")&amp;D24,"")</f>
        <v>,siko_ymd</v>
      </c>
      <c r="AK24" s="4"/>
      <c r="AL24" s="4"/>
      <c r="AM24" s="4"/>
      <c r="AN24" s="4"/>
      <c r="AO24" s="4"/>
      <c r="AP24" s="4"/>
      <c r="AQ24" s="4"/>
      <c r="AR24" s="4"/>
      <c r="AS24" s="78" t="str">
        <f>"COMMENT ON COLUMN "&amp;エンティティ一覧!$O$2&amp;"."&amp;D$8&amp;"."&amp;D24&amp;" IS '"&amp;C24&amp;"';"</f>
        <v>COMMENT ON COLUMN milscm_2023_010.azn_202310_backup_mt2_shikkan_kanren.siko_ymd IS '施行年月日';</v>
      </c>
    </row>
    <row r="25" spans="1:52" s="25" customFormat="1" ht="56.25">
      <c r="A25" s="4"/>
      <c r="B25" s="21">
        <f t="shared" si="2"/>
        <v>13</v>
      </c>
      <c r="C25" s="6" t="s">
        <v>2552</v>
      </c>
      <c r="D25" s="6" t="s">
        <v>2553</v>
      </c>
      <c r="E25" s="8"/>
      <c r="F25" s="7" t="s">
        <v>740</v>
      </c>
      <c r="G25" s="7" t="str">
        <f t="shared" si="7"/>
        <v>text</v>
      </c>
      <c r="H25" s="26">
        <v>0</v>
      </c>
      <c r="I25" s="10" t="s">
        <v>127</v>
      </c>
      <c r="J25" s="11" t="s">
        <v>2723</v>
      </c>
      <c r="M25" s="4"/>
      <c r="N25" s="78"/>
      <c r="O25" s="78"/>
      <c r="P25" s="78" t="str">
        <f t="shared" si="8"/>
        <v>,new_f</v>
      </c>
      <c r="Q25" s="78" t="str">
        <f t="shared" si="9"/>
        <v>TEXT</v>
      </c>
      <c r="R25" s="78" t="str">
        <f t="shared" si="10"/>
        <v>default '0'</v>
      </c>
      <c r="S25" s="78" t="str">
        <f t="shared" si="11"/>
        <v>NOT NULL</v>
      </c>
      <c r="T25" s="78" t="str">
        <f t="shared" si="12"/>
        <v>-- 最新フラグ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milscm_2023_010.azn_202310_backup_mt2_shikkan_kanren.new_f IS '最新フラグ';</v>
      </c>
    </row>
    <row r="26" spans="1:52" s="25" customFormat="1">
      <c r="A26" s="4"/>
      <c r="B26" s="21">
        <f t="shared" si="2"/>
        <v>14</v>
      </c>
      <c r="C26" s="6" t="s">
        <v>2579</v>
      </c>
      <c r="D26" s="6" t="s">
        <v>1949</v>
      </c>
      <c r="E26" s="8"/>
      <c r="F26" s="7" t="s">
        <v>740</v>
      </c>
      <c r="G26" s="7" t="str">
        <f t="shared" si="7"/>
        <v>text</v>
      </c>
      <c r="H26" s="26">
        <v>0</v>
      </c>
      <c r="I26" s="10" t="s">
        <v>127</v>
      </c>
      <c r="J26" s="11"/>
      <c r="M26" s="4"/>
      <c r="N26" s="78"/>
      <c r="O26" s="78"/>
      <c r="P26" s="78" t="str">
        <f t="shared" si="8"/>
        <v>,del_f</v>
      </c>
      <c r="Q26" s="78" t="str">
        <f t="shared" si="9"/>
        <v>TEXT</v>
      </c>
      <c r="R26" s="78" t="str">
        <f t="shared" si="10"/>
        <v>default '0'</v>
      </c>
      <c r="S26" s="78" t="str">
        <f t="shared" si="11"/>
        <v>NOT NULL</v>
      </c>
      <c r="T26" s="78" t="str">
        <f t="shared" si="12"/>
        <v>-- 削除フラグ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milscm_2023_010.azn_202310_backup_mt2_shikkan_kanren.del_f IS '削除フラグ';</v>
      </c>
    </row>
    <row r="27" spans="1:52" s="25" customFormat="1" ht="37.5">
      <c r="A27" s="4"/>
      <c r="B27" s="21">
        <f t="shared" si="2"/>
        <v>15</v>
      </c>
      <c r="C27" s="6" t="s">
        <v>2715</v>
      </c>
      <c r="D27" s="6" t="s">
        <v>1951</v>
      </c>
      <c r="E27" s="8"/>
      <c r="F27" s="7" t="s">
        <v>740</v>
      </c>
      <c r="G27" s="7" t="str">
        <f t="shared" si="3"/>
        <v>text</v>
      </c>
      <c r="H27" s="26">
        <v>99999999</v>
      </c>
      <c r="I27" s="10" t="s">
        <v>127</v>
      </c>
      <c r="J27" s="11" t="s">
        <v>2722</v>
      </c>
      <c r="M27" s="4"/>
      <c r="N27" s="78"/>
      <c r="O27" s="78"/>
      <c r="P27" s="78" t="str">
        <f t="shared" si="4"/>
        <v>,henkou_ymd</v>
      </c>
      <c r="Q27" s="78" t="str">
        <f t="shared" si="0"/>
        <v>TEXT</v>
      </c>
      <c r="R27" s="78" t="str">
        <f t="shared" si="1"/>
        <v>default '99999999'</v>
      </c>
      <c r="S27" s="78" t="str">
        <f t="shared" si="5"/>
        <v>NOT NULL</v>
      </c>
      <c r="T27" s="78" t="str">
        <f t="shared" si="6"/>
        <v>-- 変更年月日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milscm_2023_010.azn_202310_backup_mt2_shikkan_kanren.henkou_ymd IS '変更年月日';</v>
      </c>
    </row>
    <row r="28" spans="1:52" s="25" customFormat="1" ht="38.25" thickBot="1">
      <c r="A28" s="4"/>
      <c r="B28" s="27">
        <f>ROW()-12</f>
        <v>16</v>
      </c>
      <c r="C28" s="57" t="s">
        <v>1952</v>
      </c>
      <c r="D28" s="57" t="s">
        <v>1953</v>
      </c>
      <c r="E28" s="56"/>
      <c r="F28" s="56" t="s">
        <v>740</v>
      </c>
      <c r="G28" s="56" t="str">
        <f t="shared" si="3"/>
        <v>text</v>
      </c>
      <c r="H28" s="59">
        <v>99999999</v>
      </c>
      <c r="I28" s="60" t="s">
        <v>127</v>
      </c>
      <c r="J28" s="64" t="s">
        <v>2722</v>
      </c>
      <c r="N28" s="78"/>
      <c r="O28" s="78"/>
      <c r="P28" s="78" t="str">
        <f t="shared" si="4"/>
        <v>,del_ymd</v>
      </c>
      <c r="Q28" s="78" t="str">
        <f t="shared" si="0"/>
        <v>TEXT</v>
      </c>
      <c r="R28" s="78" t="str">
        <f t="shared" si="1"/>
        <v>default '99999999'</v>
      </c>
      <c r="S28" s="78" t="str">
        <f t="shared" si="5"/>
        <v>NOT NULL</v>
      </c>
      <c r="T28" s="78" t="str">
        <f t="shared" si="6"/>
        <v>-- 廃止年月日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milscm_2023_010.azn_202310_backup_mt2_shikkan_kanren.del_ymd IS '廃止年月日';</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200-000000000000}"/>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ENT_01_A4-13</v>
      </c>
      <c r="E6" s="239"/>
      <c r="F6" s="239"/>
      <c r="G6" s="239"/>
      <c r="H6" s="239"/>
      <c r="I6" s="239"/>
      <c r="J6" s="240"/>
    </row>
    <row r="7" spans="1:45">
      <c r="B7" s="228" t="s">
        <v>115</v>
      </c>
      <c r="C7" s="229"/>
      <c r="D7" s="230" t="s">
        <v>2724</v>
      </c>
      <c r="E7" s="231"/>
      <c r="F7" s="231"/>
      <c r="G7" s="231"/>
      <c r="H7" s="231"/>
      <c r="I7" s="231"/>
      <c r="J7" s="232"/>
    </row>
    <row r="8" spans="1:45">
      <c r="B8" s="228" t="s">
        <v>116</v>
      </c>
      <c r="C8" s="229"/>
      <c r="D8" s="230" t="str">
        <f>エンティティ一覧!AE2&amp;"_"&amp;D5&amp;"_mt2_iyakuhin_seibun_kanren"</f>
        <v>azn_202310_backup_mt2_iyakuhin_seibun_kanren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milscm_2023_010.azn_202310_backup_mt2_iyakuhin_seibun_kanren;</v>
      </c>
      <c r="O10" s="78"/>
      <c r="P10" s="78"/>
      <c r="Q10" s="78"/>
      <c r="R10" s="78"/>
      <c r="S10" s="78"/>
      <c r="T10" s="78"/>
      <c r="AJ10" s="78" t="str">
        <f>"ALTER TABLE ONLY "&amp;エンティティ一覧!$O$2&amp;"."&amp;D$8</f>
        <v>ALTER TABLE ONLY milscm_2023_010.azn_202310_backup_mt2_iyakuhin_seibun_kanren</v>
      </c>
      <c r="AS10" s="78" t="str">
        <f>"ALTER TABLE "&amp;エンティティ一覧!$O$2&amp;"."&amp;D$8&amp;" OWNER TO pgmisgrp1;"</f>
        <v>ALTER TABLE milscm_2023_010.azn_202310_backup_mt2_iyakuhin_seibun_kanren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milscm_2023_010.azn_202310_backup_mt2_iyakuhin_seibun_kanren</v>
      </c>
      <c r="O11" s="78"/>
      <c r="P11" s="78"/>
      <c r="Q11" s="78"/>
      <c r="R11" s="78"/>
      <c r="S11" s="78"/>
      <c r="T11" s="78"/>
      <c r="AJ11" s="78" t="str">
        <f>"ADD CONSTRAINT "&amp;D$8&amp;"_pkey PRIMARY KEY"</f>
        <v>ADD CONSTRAINT azn_202310_backup_mt2_iyakuhin_seibun_kanren_pkey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milscm_2023_010.azn_202310_backup_mt2_iyakuhin_seibun_kanren IS 'バックアップ_医薬品成分関連マスタ';</v>
      </c>
    </row>
    <row r="13" spans="1:45" s="25" customFormat="1">
      <c r="A13" s="4"/>
      <c r="B13" s="21">
        <f>ROW()-12</f>
        <v>1</v>
      </c>
      <c r="C13" s="6" t="s">
        <v>2073</v>
      </c>
      <c r="D13" s="6" t="s">
        <v>2725</v>
      </c>
      <c r="E13" s="8" t="s">
        <v>127</v>
      </c>
      <c r="F13" s="8" t="s">
        <v>1782</v>
      </c>
      <c r="G13" s="7" t="str">
        <f>IF(F13="フラグ","boolean",IF(F13="文字列","text",IF(F13="整数","integer",IF(F13="実数","numeric",""))))</f>
        <v>text</v>
      </c>
      <c r="H13" s="9"/>
      <c r="I13" s="10" t="s">
        <v>127</v>
      </c>
      <c r="J13" s="11" t="s">
        <v>2734</v>
      </c>
      <c r="M13" s="4"/>
      <c r="N13" s="78"/>
      <c r="O13" s="78"/>
      <c r="P13" s="78" t="str">
        <f>IF(B13&lt;&gt;1,","&amp;D13,D13)</f>
        <v>yj_cd</v>
      </c>
      <c r="Q13" s="78" t="str">
        <f t="shared" ref="Q13:Q32" si="0">UPPER(G13)</f>
        <v>TEXT</v>
      </c>
      <c r="R13" s="78" t="str">
        <f t="shared" ref="R13:R32"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milscm_2023_010.azn_202310_backup_mt2_iyakuhin_seibun_kanren.yj_cd IS 'ＹＪコード';</v>
      </c>
    </row>
    <row r="14" spans="1:45" s="25" customFormat="1" ht="37.5">
      <c r="A14" s="4"/>
      <c r="B14" s="21">
        <f t="shared" ref="B14:B31" si="2">ROW()-12</f>
        <v>2</v>
      </c>
      <c r="C14" s="6" t="s">
        <v>1202</v>
      </c>
      <c r="D14" s="6" t="s">
        <v>2592</v>
      </c>
      <c r="E14" s="8"/>
      <c r="F14" s="7" t="s">
        <v>740</v>
      </c>
      <c r="G14" s="7" t="str">
        <f t="shared" ref="G14:G32" si="3">IF(F14="フラグ","boolean",IF(F14="文字列","text",IF(F14="整数","integer",IF(F14="実数","numeric",""))))</f>
        <v>text</v>
      </c>
      <c r="H14" s="26"/>
      <c r="I14" s="10"/>
      <c r="J14" s="11" t="s">
        <v>2735</v>
      </c>
      <c r="M14" s="4"/>
      <c r="N14" s="78"/>
      <c r="O14" s="78"/>
      <c r="P14" s="78" t="str">
        <f t="shared" ref="P14:P32" si="4">IF(B14&lt;&gt;1,","&amp;D14,D14)</f>
        <v>,iyakuhin_cd</v>
      </c>
      <c r="Q14" s="78" t="str">
        <f t="shared" si="0"/>
        <v>TEXT</v>
      </c>
      <c r="R14" s="78" t="str">
        <f t="shared" si="1"/>
        <v/>
      </c>
      <c r="S14" s="78" t="str">
        <f t="shared" ref="S14:S32" si="5">IF(I14="○","NOT NULL","")</f>
        <v/>
      </c>
      <c r="T14" s="78" t="str">
        <f t="shared" ref="T14:T32"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milscm_2023_010.azn_202310_backup_mt2_iyakuhin_seibun_kanren.iyakuhin_cd IS '医薬品コード';</v>
      </c>
    </row>
    <row r="15" spans="1:45" s="25" customFormat="1" ht="37.5">
      <c r="A15" s="4"/>
      <c r="B15" s="21">
        <f t="shared" si="2"/>
        <v>3</v>
      </c>
      <c r="C15" s="6" t="s">
        <v>2158</v>
      </c>
      <c r="D15" s="6" t="s">
        <v>2159</v>
      </c>
      <c r="E15" s="8"/>
      <c r="F15" s="7" t="s">
        <v>1782</v>
      </c>
      <c r="G15" s="7" t="str">
        <f t="shared" si="3"/>
        <v>text</v>
      </c>
      <c r="H15" s="26"/>
      <c r="I15" s="10"/>
      <c r="J15" s="11" t="s">
        <v>2735</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milscm_2023_010.azn_202310_backup_mt2_iyakuhin_seibun_kanren.iyakuhin_name IS '医薬品名';</v>
      </c>
    </row>
    <row r="16" spans="1:45" s="25" customFormat="1" ht="56.25">
      <c r="A16" s="4"/>
      <c r="B16" s="21">
        <f t="shared" si="2"/>
        <v>4</v>
      </c>
      <c r="C16" s="6" t="s">
        <v>2075</v>
      </c>
      <c r="D16" s="6" t="s">
        <v>2076</v>
      </c>
      <c r="E16" s="8"/>
      <c r="F16" s="7" t="s">
        <v>1782</v>
      </c>
      <c r="G16" s="7" t="str">
        <f t="shared" si="3"/>
        <v>text</v>
      </c>
      <c r="H16" s="26"/>
      <c r="I16" s="10" t="s">
        <v>127</v>
      </c>
      <c r="J16" s="11" t="s">
        <v>2736</v>
      </c>
      <c r="M16" s="4"/>
      <c r="N16" s="78"/>
      <c r="O16" s="78"/>
      <c r="P16" s="78" t="str">
        <f t="shared" si="4"/>
        <v>,haigozai_f</v>
      </c>
      <c r="Q16" s="78" t="str">
        <f t="shared" si="0"/>
        <v>TEXT</v>
      </c>
      <c r="R16" s="78" t="str">
        <f t="shared" si="1"/>
        <v/>
      </c>
      <c r="S16" s="78" t="str">
        <f t="shared" si="5"/>
        <v>NOT NULL</v>
      </c>
      <c r="T16" s="78" t="str">
        <f t="shared" si="6"/>
        <v>-- 配合剤フラグ</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milscm_2023_010.azn_202310_backup_mt2_iyakuhin_seibun_kanren.haigozai_f IS '配合剤フラグ';</v>
      </c>
    </row>
    <row r="17" spans="1:45" s="25" customFormat="1">
      <c r="A17" s="4"/>
      <c r="B17" s="21">
        <f t="shared" si="2"/>
        <v>5</v>
      </c>
      <c r="C17" s="6" t="s">
        <v>2077</v>
      </c>
      <c r="D17" s="6" t="s">
        <v>2726</v>
      </c>
      <c r="E17" s="8"/>
      <c r="F17" s="7" t="s">
        <v>1782</v>
      </c>
      <c r="G17" s="7" t="str">
        <f t="shared" si="3"/>
        <v>text</v>
      </c>
      <c r="H17" s="26"/>
      <c r="I17" s="10" t="s">
        <v>127</v>
      </c>
      <c r="J17" s="11" t="s">
        <v>2737</v>
      </c>
      <c r="M17" s="4"/>
      <c r="N17" s="78"/>
      <c r="O17" s="78"/>
      <c r="P17" s="78" t="str">
        <f t="shared" si="4"/>
        <v>,seibun_group_cd</v>
      </c>
      <c r="Q17" s="78" t="str">
        <f t="shared" si="0"/>
        <v>TEXT</v>
      </c>
      <c r="R17" s="78" t="str">
        <f t="shared" si="1"/>
        <v/>
      </c>
      <c r="S17" s="78" t="str">
        <f t="shared" si="5"/>
        <v>NOT NULL</v>
      </c>
      <c r="T17" s="78" t="str">
        <f t="shared" si="6"/>
        <v>-- 成分グループコード</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milscm_2023_010.azn_202310_backup_mt2_iyakuhin_seibun_kanren.seibun_group_cd IS '成分グループコード';</v>
      </c>
    </row>
    <row r="18" spans="1:45" s="25" customFormat="1">
      <c r="A18" s="4"/>
      <c r="B18" s="21">
        <f t="shared" si="2"/>
        <v>6</v>
      </c>
      <c r="C18" s="6" t="s">
        <v>2079</v>
      </c>
      <c r="D18" s="6" t="s">
        <v>2727</v>
      </c>
      <c r="E18" s="8" t="s">
        <v>127</v>
      </c>
      <c r="F18" s="7" t="s">
        <v>1782</v>
      </c>
      <c r="G18" s="7" t="str">
        <f t="shared" si="3"/>
        <v>text</v>
      </c>
      <c r="H18" s="26"/>
      <c r="I18" s="10" t="s">
        <v>127</v>
      </c>
      <c r="J18" s="11" t="s">
        <v>2737</v>
      </c>
      <c r="M18" s="4"/>
      <c r="N18" s="78"/>
      <c r="O18" s="78"/>
      <c r="P18" s="78" t="str">
        <f t="shared" si="4"/>
        <v>,seibun_cd</v>
      </c>
      <c r="Q18" s="78" t="str">
        <f t="shared" si="0"/>
        <v>TEXT</v>
      </c>
      <c r="R18" s="78" t="str">
        <f t="shared" si="1"/>
        <v/>
      </c>
      <c r="S18" s="78" t="str">
        <f t="shared" si="5"/>
        <v>NOT NULL</v>
      </c>
      <c r="T18" s="78" t="str">
        <f t="shared" si="6"/>
        <v>-- 成分コード</v>
      </c>
      <c r="U18" s="4"/>
      <c r="AA18" s="4"/>
      <c r="AB18" s="4"/>
      <c r="AC18" s="4"/>
      <c r="AD18" s="4"/>
      <c r="AE18" s="4"/>
      <c r="AF18" s="4"/>
      <c r="AG18" s="4"/>
      <c r="AH18" s="4"/>
      <c r="AI18" s="4"/>
      <c r="AJ18" s="78" t="str">
        <f>IF(E18="○",IF(COUNTA(E$13:E18)=1,"",",")&amp;D18,"")</f>
        <v>,seibun_cd</v>
      </c>
      <c r="AK18" s="4"/>
      <c r="AL18" s="4"/>
      <c r="AM18" s="4"/>
      <c r="AN18" s="4"/>
      <c r="AO18" s="4"/>
      <c r="AP18" s="4"/>
      <c r="AQ18" s="4"/>
      <c r="AR18" s="4"/>
      <c r="AS18" s="78" t="str">
        <f>"COMMENT ON COLUMN "&amp;エンティティ一覧!$O$2&amp;"."&amp;D$8&amp;"."&amp;D18&amp;" IS '"&amp;C18&amp;"';"</f>
        <v>COMMENT ON COLUMN milscm_2023_010.azn_202310_backup_mt2_iyakuhin_seibun_kanren.seibun_cd IS '成分コード';</v>
      </c>
    </row>
    <row r="19" spans="1:45" s="25" customFormat="1">
      <c r="A19" s="4"/>
      <c r="B19" s="21">
        <f t="shared" si="2"/>
        <v>7</v>
      </c>
      <c r="C19" s="6" t="s">
        <v>2104</v>
      </c>
      <c r="D19" s="6" t="s">
        <v>2105</v>
      </c>
      <c r="E19" s="8"/>
      <c r="F19" s="7" t="s">
        <v>1782</v>
      </c>
      <c r="G19" s="7" t="str">
        <f t="shared" si="3"/>
        <v>text</v>
      </c>
      <c r="H19" s="26"/>
      <c r="I19" s="10" t="s">
        <v>127</v>
      </c>
      <c r="J19" s="11" t="s">
        <v>2738</v>
      </c>
      <c r="M19" s="4"/>
      <c r="N19" s="78"/>
      <c r="O19" s="78"/>
      <c r="P19" s="78" t="str">
        <f t="shared" si="4"/>
        <v>,seibun_name</v>
      </c>
      <c r="Q19" s="78" t="str">
        <f t="shared" si="0"/>
        <v>TEXT</v>
      </c>
      <c r="R19" s="78" t="str">
        <f t="shared" si="1"/>
        <v/>
      </c>
      <c r="S19" s="78" t="str">
        <f t="shared" si="5"/>
        <v>NOT NULL</v>
      </c>
      <c r="T19" s="78" t="str">
        <f t="shared" si="6"/>
        <v>-- 成分名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milscm_2023_010.azn_202310_backup_mt2_iyakuhin_seibun_kanren.seibun_name IS '成分名';</v>
      </c>
    </row>
    <row r="20" spans="1:45" s="25" customFormat="1">
      <c r="A20" s="4"/>
      <c r="B20" s="21">
        <f t="shared" si="2"/>
        <v>8</v>
      </c>
      <c r="C20" s="6" t="s">
        <v>2081</v>
      </c>
      <c r="D20" s="6" t="s">
        <v>2082</v>
      </c>
      <c r="E20" s="8"/>
      <c r="F20" s="7" t="s">
        <v>1789</v>
      </c>
      <c r="G20" s="7" t="str">
        <f t="shared" si="3"/>
        <v>numeric</v>
      </c>
      <c r="H20" s="26"/>
      <c r="I20" s="10"/>
      <c r="J20" s="11" t="s">
        <v>2737</v>
      </c>
      <c r="M20" s="4"/>
      <c r="N20" s="78"/>
      <c r="O20" s="78"/>
      <c r="P20" s="78" t="str">
        <f t="shared" si="4"/>
        <v>,seibunryo</v>
      </c>
      <c r="Q20" s="78" t="str">
        <f t="shared" si="0"/>
        <v>NUMERIC</v>
      </c>
      <c r="R20" s="78" t="str">
        <f t="shared" si="1"/>
        <v/>
      </c>
      <c r="S20" s="78" t="str">
        <f t="shared" si="5"/>
        <v/>
      </c>
      <c r="T20" s="78" t="str">
        <f t="shared" si="6"/>
        <v>-- 成分量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milscm_2023_010.azn_202310_backup_mt2_iyakuhin_seibun_kanren.seibunryo IS '成分量';</v>
      </c>
    </row>
    <row r="21" spans="1:45" s="25" customFormat="1">
      <c r="A21" s="4"/>
      <c r="B21" s="21">
        <f t="shared" si="2"/>
        <v>9</v>
      </c>
      <c r="C21" s="6" t="s">
        <v>2083</v>
      </c>
      <c r="D21" s="6" t="s">
        <v>2728</v>
      </c>
      <c r="E21" s="8"/>
      <c r="F21" s="7" t="s">
        <v>1782</v>
      </c>
      <c r="G21" s="7" t="str">
        <f t="shared" si="3"/>
        <v>text</v>
      </c>
      <c r="H21" s="26"/>
      <c r="I21" s="10"/>
      <c r="J21" s="11" t="s">
        <v>2737</v>
      </c>
      <c r="M21" s="4"/>
      <c r="N21" s="78"/>
      <c r="O21" s="78"/>
      <c r="P21" s="78" t="str">
        <f t="shared" si="4"/>
        <v>,seibun_unit_cd</v>
      </c>
      <c r="Q21" s="78" t="str">
        <f t="shared" si="0"/>
        <v>TEXT</v>
      </c>
      <c r="R21" s="78" t="str">
        <f t="shared" si="1"/>
        <v/>
      </c>
      <c r="S21" s="78" t="str">
        <f t="shared" si="5"/>
        <v/>
      </c>
      <c r="T21" s="78" t="str">
        <f t="shared" si="6"/>
        <v>-- 成分単位コード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milscm_2023_010.azn_202310_backup_mt2_iyakuhin_seibun_kanren.seibun_unit_cd IS '成分単位コード';</v>
      </c>
    </row>
    <row r="22" spans="1:45" s="25" customFormat="1">
      <c r="A22" s="4"/>
      <c r="B22" s="21">
        <f t="shared" si="2"/>
        <v>10</v>
      </c>
      <c r="C22" s="6" t="s">
        <v>2729</v>
      </c>
      <c r="D22" s="6" t="s">
        <v>2730</v>
      </c>
      <c r="E22" s="8"/>
      <c r="F22" s="7" t="s">
        <v>1782</v>
      </c>
      <c r="G22" s="7" t="str">
        <f t="shared" si="3"/>
        <v>text</v>
      </c>
      <c r="H22" s="26"/>
      <c r="I22" s="10"/>
      <c r="J22" s="11" t="s">
        <v>2739</v>
      </c>
      <c r="M22" s="4"/>
      <c r="N22" s="78"/>
      <c r="O22" s="78"/>
      <c r="P22" s="78" t="str">
        <f t="shared" si="4"/>
        <v>,seibun_unit_name</v>
      </c>
      <c r="Q22" s="78" t="str">
        <f t="shared" si="0"/>
        <v>TEXT</v>
      </c>
      <c r="R22" s="78" t="str">
        <f t="shared" si="1"/>
        <v/>
      </c>
      <c r="S22" s="78" t="str">
        <f t="shared" si="5"/>
        <v/>
      </c>
      <c r="T22" s="78" t="str">
        <f t="shared" si="6"/>
        <v>-- 成分単位名称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milscm_2023_010.azn_202310_backup_mt2_iyakuhin_seibun_kanren.seibun_unit_name IS '成分単位名称';</v>
      </c>
    </row>
    <row r="23" spans="1:45" s="25" customFormat="1">
      <c r="A23" s="4"/>
      <c r="B23" s="21">
        <f t="shared" si="2"/>
        <v>11</v>
      </c>
      <c r="C23" s="6" t="s">
        <v>2085</v>
      </c>
      <c r="D23" s="6" t="s">
        <v>2086</v>
      </c>
      <c r="E23" s="8"/>
      <c r="F23" s="7" t="s">
        <v>1789</v>
      </c>
      <c r="G23" s="7" t="str">
        <f t="shared" si="3"/>
        <v>numeric</v>
      </c>
      <c r="H23" s="26"/>
      <c r="I23" s="10"/>
      <c r="J23" s="11" t="s">
        <v>2737</v>
      </c>
      <c r="M23" s="4"/>
      <c r="N23" s="78"/>
      <c r="O23" s="78"/>
      <c r="P23" s="78" t="str">
        <f t="shared" si="4"/>
        <v>,kokuji_kikakuryo</v>
      </c>
      <c r="Q23" s="78" t="str">
        <f t="shared" si="0"/>
        <v>NUMERIC</v>
      </c>
      <c r="R23" s="78" t="str">
        <f t="shared" si="1"/>
        <v/>
      </c>
      <c r="S23" s="78" t="str">
        <f t="shared" si="5"/>
        <v/>
      </c>
      <c r="T23" s="78" t="str">
        <f t="shared" si="6"/>
        <v>-- 告示規格量</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milscm_2023_010.azn_202310_backup_mt2_iyakuhin_seibun_kanren.kokuji_kikakuryo IS '告示規格量';</v>
      </c>
    </row>
    <row r="24" spans="1:45" s="25" customFormat="1">
      <c r="A24" s="4"/>
      <c r="B24" s="21">
        <f t="shared" si="2"/>
        <v>12</v>
      </c>
      <c r="C24" s="6" t="s">
        <v>2087</v>
      </c>
      <c r="D24" s="6" t="s">
        <v>2731</v>
      </c>
      <c r="E24" s="8"/>
      <c r="F24" s="7" t="s">
        <v>1782</v>
      </c>
      <c r="G24" s="7" t="str">
        <f t="shared" si="3"/>
        <v>text</v>
      </c>
      <c r="H24" s="26"/>
      <c r="I24" s="10"/>
      <c r="J24" s="11" t="s">
        <v>2737</v>
      </c>
      <c r="M24" s="4"/>
      <c r="N24" s="78"/>
      <c r="O24" s="78"/>
      <c r="P24" s="78" t="str">
        <f t="shared" si="4"/>
        <v>,kokuji_kikaku_unit_cd</v>
      </c>
      <c r="Q24" s="78" t="str">
        <f t="shared" si="0"/>
        <v>TEXT</v>
      </c>
      <c r="R24" s="78" t="str">
        <f t="shared" si="1"/>
        <v/>
      </c>
      <c r="S24" s="78" t="str">
        <f t="shared" si="5"/>
        <v/>
      </c>
      <c r="T24" s="78" t="str">
        <f t="shared" si="6"/>
        <v>-- 告示規格単位コード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milscm_2023_010.azn_202310_backup_mt2_iyakuhin_seibun_kanren.kokuji_kikaku_unit_cd IS '告示規格単位コード';</v>
      </c>
    </row>
    <row r="25" spans="1:45" s="25" customFormat="1">
      <c r="A25" s="4"/>
      <c r="B25" s="21">
        <f t="shared" si="2"/>
        <v>13</v>
      </c>
      <c r="C25" s="6" t="s">
        <v>2732</v>
      </c>
      <c r="D25" s="6" t="s">
        <v>2733</v>
      </c>
      <c r="E25" s="8"/>
      <c r="F25" s="7" t="s">
        <v>1782</v>
      </c>
      <c r="G25" s="7" t="str">
        <f t="shared" si="3"/>
        <v>text</v>
      </c>
      <c r="H25" s="26"/>
      <c r="I25" s="10"/>
      <c r="J25" s="11" t="s">
        <v>2739</v>
      </c>
      <c r="M25" s="4"/>
      <c r="N25" s="78"/>
      <c r="O25" s="78"/>
      <c r="P25" s="78" t="str">
        <f t="shared" si="4"/>
        <v>,kokuji_kikaku_unit_name</v>
      </c>
      <c r="Q25" s="78" t="str">
        <f t="shared" si="0"/>
        <v>TEXT</v>
      </c>
      <c r="R25" s="78" t="str">
        <f t="shared" si="1"/>
        <v/>
      </c>
      <c r="S25" s="78" t="str">
        <f t="shared" si="5"/>
        <v/>
      </c>
      <c r="T25" s="78" t="str">
        <f t="shared" si="6"/>
        <v>-- 告示規格単位名称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milscm_2023_010.azn_202310_backup_mt2_iyakuhin_seibun_kanren.kokuji_kikaku_unit_name IS '告示規格単位名称';</v>
      </c>
    </row>
    <row r="26" spans="1:45" s="25" customFormat="1" ht="37.5">
      <c r="A26" s="4"/>
      <c r="B26" s="21">
        <f t="shared" si="2"/>
        <v>14</v>
      </c>
      <c r="C26" s="6" t="s">
        <v>2160</v>
      </c>
      <c r="D26" s="6" t="s">
        <v>2161</v>
      </c>
      <c r="E26" s="8"/>
      <c r="F26" s="7" t="s">
        <v>1782</v>
      </c>
      <c r="G26" s="7" t="str">
        <f t="shared" si="3"/>
        <v>text</v>
      </c>
      <c r="H26" s="26"/>
      <c r="I26" s="10"/>
      <c r="J26" s="11" t="s">
        <v>2735</v>
      </c>
      <c r="M26" s="4"/>
      <c r="N26" s="78"/>
      <c r="O26" s="78"/>
      <c r="P26" s="78" t="str">
        <f t="shared" si="4"/>
        <v>,kikaku_naiyou</v>
      </c>
      <c r="Q26" s="78" t="str">
        <f t="shared" si="0"/>
        <v>TEXT</v>
      </c>
      <c r="R26" s="78" t="str">
        <f t="shared" si="1"/>
        <v/>
      </c>
      <c r="S26" s="78" t="str">
        <f t="shared" si="5"/>
        <v/>
      </c>
      <c r="T26" s="78" t="str">
        <f t="shared" si="6"/>
        <v>-- 規格内容</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milscm_2023_010.azn_202310_backup_mt2_iyakuhin_seibun_kanren.kikaku_naiyou IS '規格内容';</v>
      </c>
    </row>
    <row r="27" spans="1:45" s="25" customFormat="1">
      <c r="A27" s="4"/>
      <c r="B27" s="21">
        <f t="shared" si="2"/>
        <v>15</v>
      </c>
      <c r="C27" s="6" t="s">
        <v>2089</v>
      </c>
      <c r="D27" s="6" t="s">
        <v>2090</v>
      </c>
      <c r="E27" s="8"/>
      <c r="F27" s="7" t="s">
        <v>1782</v>
      </c>
      <c r="G27" s="7" t="str">
        <f t="shared" ref="G27:G30" si="7">IF(F27="フラグ","boolean",IF(F27="文字列","text",IF(F27="整数","integer",IF(F27="実数","numeric",""))))</f>
        <v>text</v>
      </c>
      <c r="H27" s="26"/>
      <c r="I27" s="10"/>
      <c r="J27" s="11" t="s">
        <v>2737</v>
      </c>
      <c r="M27" s="4"/>
      <c r="N27" s="78"/>
      <c r="O27" s="78"/>
      <c r="P27" s="78" t="str">
        <f t="shared" ref="P27:P30" si="8">IF(B27&lt;&gt;1,","&amp;D27,D27)</f>
        <v>,bikou</v>
      </c>
      <c r="Q27" s="78" t="str">
        <f t="shared" ref="Q27:Q30" si="9">UPPER(G27)</f>
        <v>TEXT</v>
      </c>
      <c r="R27" s="78" t="str">
        <f t="shared" ref="R27:R30" si="10">IF(H27&lt;&gt;"","default "&amp;IF(G27="text","'"&amp;H27&amp;"'",H27),"")</f>
        <v/>
      </c>
      <c r="S27" s="78" t="str">
        <f t="shared" ref="S27:S30" si="11">IF(I27="○","NOT NULL","")</f>
        <v/>
      </c>
      <c r="T27" s="78" t="str">
        <f t="shared" ref="T27:T30" si="12">"-- "&amp;C27</f>
        <v>-- 備考</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milscm_2023_010.azn_202310_backup_mt2_iyakuhin_seibun_kanren.bikou IS '備考';</v>
      </c>
    </row>
    <row r="28" spans="1:45" s="25" customFormat="1" ht="37.5">
      <c r="A28" s="4"/>
      <c r="B28" s="21">
        <f t="shared" si="2"/>
        <v>16</v>
      </c>
      <c r="C28" s="6" t="s">
        <v>2444</v>
      </c>
      <c r="D28" s="6" t="s">
        <v>1926</v>
      </c>
      <c r="E28" s="8" t="s">
        <v>127</v>
      </c>
      <c r="F28" s="7" t="s">
        <v>740</v>
      </c>
      <c r="G28" s="7" t="str">
        <f t="shared" si="7"/>
        <v>text</v>
      </c>
      <c r="H28" s="26" t="s">
        <v>1965</v>
      </c>
      <c r="I28" s="10" t="s">
        <v>127</v>
      </c>
      <c r="J28" s="11" t="s">
        <v>2740</v>
      </c>
      <c r="M28" s="4"/>
      <c r="N28" s="78"/>
      <c r="O28" s="78"/>
      <c r="P28" s="78" t="str">
        <f t="shared" si="8"/>
        <v>,update_ymd</v>
      </c>
      <c r="Q28" s="78" t="str">
        <f t="shared" si="9"/>
        <v>TEXT</v>
      </c>
      <c r="R28" s="78" t="str">
        <f t="shared" si="10"/>
        <v>default '99999999'</v>
      </c>
      <c r="S28" s="78" t="str">
        <f t="shared" si="11"/>
        <v>NOT NULL</v>
      </c>
      <c r="T28" s="78" t="str">
        <f t="shared" si="12"/>
        <v>-- データ登録日</v>
      </c>
      <c r="U28" s="4"/>
      <c r="AA28" s="4"/>
      <c r="AB28" s="4"/>
      <c r="AC28" s="4"/>
      <c r="AD28" s="4"/>
      <c r="AE28" s="4"/>
      <c r="AF28" s="4"/>
      <c r="AG28" s="4"/>
      <c r="AH28" s="4"/>
      <c r="AI28" s="4"/>
      <c r="AJ28" s="78" t="str">
        <f>IF(E28="○",IF(COUNTA(E$13:E28)=1,"",",")&amp;D28,"")</f>
        <v>,update_ymd</v>
      </c>
      <c r="AK28" s="4"/>
      <c r="AL28" s="4"/>
      <c r="AM28" s="4"/>
      <c r="AN28" s="4"/>
      <c r="AO28" s="4"/>
      <c r="AP28" s="4"/>
      <c r="AQ28" s="4"/>
      <c r="AR28" s="4"/>
      <c r="AS28" s="78" t="str">
        <f>"COMMENT ON COLUMN "&amp;エンティティ一覧!$O$2&amp;"."&amp;D$8&amp;"."&amp;D28&amp;" IS '"&amp;C28&amp;"';"</f>
        <v>COMMENT ON COLUMN milscm_2023_010.azn_202310_backup_mt2_iyakuhin_seibun_kanren.update_ymd IS 'データ登録日';</v>
      </c>
    </row>
    <row r="29" spans="1:45" s="25" customFormat="1" ht="56.25">
      <c r="A29" s="4"/>
      <c r="B29" s="21">
        <f t="shared" si="2"/>
        <v>17</v>
      </c>
      <c r="C29" s="6" t="s">
        <v>2552</v>
      </c>
      <c r="D29" s="6" t="s">
        <v>2553</v>
      </c>
      <c r="E29" s="8"/>
      <c r="F29" s="7" t="s">
        <v>740</v>
      </c>
      <c r="G29" s="7" t="str">
        <f t="shared" si="7"/>
        <v>text</v>
      </c>
      <c r="H29" s="26">
        <v>0</v>
      </c>
      <c r="I29" s="10" t="s">
        <v>127</v>
      </c>
      <c r="J29" s="11" t="s">
        <v>2741</v>
      </c>
      <c r="M29" s="4"/>
      <c r="N29" s="78"/>
      <c r="O29" s="78"/>
      <c r="P29" s="78" t="str">
        <f t="shared" si="8"/>
        <v>,new_f</v>
      </c>
      <c r="Q29" s="78" t="str">
        <f t="shared" si="9"/>
        <v>TEXT</v>
      </c>
      <c r="R29" s="78" t="str">
        <f t="shared" si="10"/>
        <v>default '0'</v>
      </c>
      <c r="S29" s="78" t="str">
        <f t="shared" si="11"/>
        <v>NOT NULL</v>
      </c>
      <c r="T29" s="78" t="str">
        <f t="shared" si="12"/>
        <v>-- 最新フラグ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milscm_2023_010.azn_202310_backup_mt2_iyakuhin_seibun_kanren.new_f IS '最新フラグ';</v>
      </c>
    </row>
    <row r="30" spans="1:45" s="25" customFormat="1" ht="56.25">
      <c r="A30" s="4"/>
      <c r="B30" s="21">
        <f t="shared" si="2"/>
        <v>18</v>
      </c>
      <c r="C30" s="6" t="s">
        <v>2579</v>
      </c>
      <c r="D30" s="6" t="s">
        <v>1949</v>
      </c>
      <c r="E30" s="8"/>
      <c r="F30" s="7" t="s">
        <v>740</v>
      </c>
      <c r="G30" s="7" t="str">
        <f t="shared" si="7"/>
        <v>text</v>
      </c>
      <c r="H30" s="26">
        <v>0</v>
      </c>
      <c r="I30" s="10" t="s">
        <v>127</v>
      </c>
      <c r="J30" s="11" t="s">
        <v>2742</v>
      </c>
      <c r="M30" s="4"/>
      <c r="N30" s="78"/>
      <c r="O30" s="78"/>
      <c r="P30" s="78" t="str">
        <f t="shared" si="8"/>
        <v>,del_f</v>
      </c>
      <c r="Q30" s="78" t="str">
        <f t="shared" si="9"/>
        <v>TEXT</v>
      </c>
      <c r="R30" s="78" t="str">
        <f t="shared" si="10"/>
        <v>default '0'</v>
      </c>
      <c r="S30" s="78" t="str">
        <f t="shared" si="11"/>
        <v>NOT NULL</v>
      </c>
      <c r="T30" s="78" t="str">
        <f t="shared" si="12"/>
        <v>-- 削除フラグ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milscm_2023_010.azn_202310_backup_mt2_iyakuhin_seibun_kanren.del_f IS '削除フラグ';</v>
      </c>
    </row>
    <row r="31" spans="1:45" s="25" customFormat="1" ht="131.25">
      <c r="A31" s="4"/>
      <c r="B31" s="21">
        <f t="shared" si="2"/>
        <v>19</v>
      </c>
      <c r="C31" s="6" t="s">
        <v>2012</v>
      </c>
      <c r="D31" s="6" t="s">
        <v>1951</v>
      </c>
      <c r="E31" s="8"/>
      <c r="F31" s="7" t="s">
        <v>740</v>
      </c>
      <c r="G31" s="7" t="str">
        <f t="shared" si="3"/>
        <v>text</v>
      </c>
      <c r="H31" s="26" t="s">
        <v>1965</v>
      </c>
      <c r="I31" s="10" t="s">
        <v>127</v>
      </c>
      <c r="J31" s="11" t="s">
        <v>2743</v>
      </c>
      <c r="M31" s="4"/>
      <c r="N31" s="78"/>
      <c r="O31" s="78"/>
      <c r="P31" s="78" t="str">
        <f t="shared" si="4"/>
        <v>,henkou_ymd</v>
      </c>
      <c r="Q31" s="78" t="str">
        <f t="shared" si="0"/>
        <v>TEXT</v>
      </c>
      <c r="R31" s="78" t="str">
        <f t="shared" si="1"/>
        <v>default '99999999'</v>
      </c>
      <c r="S31" s="78" t="str">
        <f t="shared" si="5"/>
        <v>NOT NULL</v>
      </c>
      <c r="T31" s="78" t="str">
        <f t="shared" si="6"/>
        <v>-- 変更年月日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milscm_2023_010.azn_202310_backup_mt2_iyakuhin_seibun_kanren.henkou_ymd IS '変更年月日';</v>
      </c>
    </row>
    <row r="32" spans="1:45" s="25" customFormat="1" ht="75.75" thickBot="1">
      <c r="A32" s="4"/>
      <c r="B32" s="27">
        <f>ROW()-12</f>
        <v>20</v>
      </c>
      <c r="C32" s="57" t="s">
        <v>1952</v>
      </c>
      <c r="D32" s="57" t="s">
        <v>1953</v>
      </c>
      <c r="E32" s="56"/>
      <c r="F32" s="56" t="s">
        <v>740</v>
      </c>
      <c r="G32" s="56" t="str">
        <f t="shared" si="3"/>
        <v>text</v>
      </c>
      <c r="H32" s="59" t="s">
        <v>1965</v>
      </c>
      <c r="I32" s="60" t="s">
        <v>127</v>
      </c>
      <c r="J32" s="64" t="s">
        <v>2744</v>
      </c>
      <c r="N32" s="78"/>
      <c r="O32" s="78"/>
      <c r="P32" s="78" t="str">
        <f t="shared" si="4"/>
        <v>,del_ymd</v>
      </c>
      <c r="Q32" s="78" t="str">
        <f t="shared" si="0"/>
        <v>TEXT</v>
      </c>
      <c r="R32" s="78" t="str">
        <f t="shared" si="1"/>
        <v>default '99999999'</v>
      </c>
      <c r="S32" s="78" t="str">
        <f t="shared" si="5"/>
        <v>NOT NULL</v>
      </c>
      <c r="T32" s="78" t="str">
        <f t="shared" si="6"/>
        <v>-- 廃止年月日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milscm_2023_010.azn_202310_backup_mt2_iyakuhin_seibun_kanren.del_ymd IS '廃止年月日';</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300-000000000000}"/>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Z8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ENT_01_A4-14</v>
      </c>
      <c r="E6" s="239"/>
      <c r="F6" s="239"/>
      <c r="G6" s="239"/>
      <c r="H6" s="239"/>
      <c r="I6" s="239"/>
      <c r="J6" s="240"/>
    </row>
    <row r="7" spans="1:45">
      <c r="B7" s="228" t="s">
        <v>115</v>
      </c>
      <c r="C7" s="229"/>
      <c r="D7" s="230" t="s">
        <v>2745</v>
      </c>
      <c r="E7" s="231"/>
      <c r="F7" s="231"/>
      <c r="G7" s="231"/>
      <c r="H7" s="231"/>
      <c r="I7" s="231"/>
      <c r="J7" s="232"/>
    </row>
    <row r="8" spans="1:45">
      <c r="B8" s="228" t="s">
        <v>116</v>
      </c>
      <c r="C8" s="229"/>
      <c r="D8" s="230" t="str">
        <f>エンティティ一覧!AE2&amp;"_"&amp;D5&amp;"_mt2_iyakuhin_tekiyou_byomei_kanren"</f>
        <v>azn_202310_backup_mt2_iyakuhin_tekiyou_byomei_kanren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milscm_2023_010.azn_202310_backup_mt2_iyakuhin_tekiyou_byomei_kanren;</v>
      </c>
      <c r="O10" s="78"/>
      <c r="P10" s="78"/>
      <c r="Q10" s="78"/>
      <c r="R10" s="78"/>
      <c r="S10" s="78"/>
      <c r="T10" s="78"/>
      <c r="AJ10" s="78" t="str">
        <f>"ALTER TABLE ONLY "&amp;エンティティ一覧!$O$2&amp;"."&amp;D$8</f>
        <v>ALTER TABLE ONLY milscm_2023_010.azn_202310_backup_mt2_iyakuhin_tekiyou_byomei_kanren</v>
      </c>
      <c r="AS10" s="78" t="str">
        <f>"ALTER TABLE "&amp;エンティティ一覧!$O$2&amp;"."&amp;D$8&amp;" OWNER TO pgmisgrp1;"</f>
        <v>ALTER TABLE milscm_2023_010.azn_202310_backup_mt2_iyakuhin_tekiyou_byomei_kanren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milscm_2023_010.azn_202310_backup_mt2_iyakuhin_tekiyou_byomei_kanren</v>
      </c>
      <c r="O11" s="78"/>
      <c r="P11" s="78"/>
      <c r="Q11" s="78"/>
      <c r="R11" s="78"/>
      <c r="S11" s="78"/>
      <c r="T11" s="78"/>
      <c r="AJ11" s="78" t="str">
        <f>"ADD CONSTRAINT "&amp;D$8&amp;"_pkey PRIMARY KEY"</f>
        <v>ADD CONSTRAINT azn_202310_backup_mt2_iyakuhin_tekiyou_byomei_kanren_pkey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milscm_2023_010.azn_202310_backup_mt2_iyakuhin_tekiyou_byomei_kanren IS 'バックアップ_医薬品適用病名関連マスタ';</v>
      </c>
    </row>
    <row r="13" spans="1:45" s="25" customFormat="1" ht="37.5">
      <c r="A13" s="4"/>
      <c r="B13" s="21">
        <f>ROW()-12</f>
        <v>1</v>
      </c>
      <c r="C13" s="6" t="s">
        <v>2073</v>
      </c>
      <c r="D13" s="6" t="s">
        <v>2725</v>
      </c>
      <c r="E13" s="8" t="s">
        <v>127</v>
      </c>
      <c r="F13" s="8" t="s">
        <v>1782</v>
      </c>
      <c r="G13" s="7" t="str">
        <f>IF(F13="フラグ","boolean",IF(F13="文字列","text",IF(F13="整数","integer",IF(F13="実数","numeric",""))))</f>
        <v>text</v>
      </c>
      <c r="H13" s="9"/>
      <c r="I13" s="10" t="s">
        <v>127</v>
      </c>
      <c r="J13" s="11" t="s">
        <v>2749</v>
      </c>
      <c r="M13" s="4"/>
      <c r="N13" s="78"/>
      <c r="O13" s="78"/>
      <c r="P13" s="78" t="str">
        <f>IF(B13&lt;&gt;1,","&amp;D13,D13)</f>
        <v>yj_cd</v>
      </c>
      <c r="Q13" s="78" t="str">
        <f t="shared" ref="Q13:Q26" si="0">UPPER(G13)</f>
        <v>TEXT</v>
      </c>
      <c r="R13" s="78" t="str">
        <f t="shared" ref="R13:R26" si="1">IF(H13&lt;&gt;"","default "&amp;IF(G13="text","'"&amp;H13&amp;"'",H13),"")</f>
        <v/>
      </c>
      <c r="S13" s="78" t="str">
        <f>IF(I13="○","NOT NULL","")</f>
        <v>NOT NULL</v>
      </c>
      <c r="T13" s="78" t="str">
        <f>"-- "&amp;C13</f>
        <v>-- ＹＪコード</v>
      </c>
      <c r="U13" s="4"/>
      <c r="AA13" s="4"/>
      <c r="AB13" s="4"/>
      <c r="AC13" s="4"/>
      <c r="AD13" s="4"/>
      <c r="AE13" s="4"/>
      <c r="AF13" s="4"/>
      <c r="AG13" s="4"/>
      <c r="AH13" s="4"/>
      <c r="AI13" s="4"/>
      <c r="AJ13" s="78" t="str">
        <f>IF(E13="○",IF(COUNTA(E$13:E13)=1,"",",")&amp;D13,"")</f>
        <v>yj_cd</v>
      </c>
      <c r="AK13" s="4"/>
      <c r="AL13" s="4"/>
      <c r="AM13" s="4"/>
      <c r="AN13" s="4"/>
      <c r="AO13" s="4"/>
      <c r="AP13" s="4"/>
      <c r="AQ13" s="4"/>
      <c r="AR13" s="4"/>
      <c r="AS13" s="78" t="str">
        <f>"COMMENT ON COLUMN "&amp;エンティティ一覧!$O$2&amp;"."&amp;D$8&amp;"."&amp;D13&amp;" IS '"&amp;C13&amp;"';"</f>
        <v>COMMENT ON COLUMN milscm_2023_010.azn_202310_backup_mt2_iyakuhin_tekiyou_byomei_kanren.yj_cd IS 'ＹＪコード';</v>
      </c>
    </row>
    <row r="14" spans="1:45" s="25" customFormat="1" ht="37.5">
      <c r="A14" s="4"/>
      <c r="B14" s="21">
        <f t="shared" ref="B14:B25" si="2">ROW()-12</f>
        <v>2</v>
      </c>
      <c r="C14" s="6" t="s">
        <v>1202</v>
      </c>
      <c r="D14" s="6" t="s">
        <v>2592</v>
      </c>
      <c r="E14" s="8"/>
      <c r="F14" s="7" t="s">
        <v>740</v>
      </c>
      <c r="G14" s="7" t="str">
        <f t="shared" ref="G14:G26" si="3">IF(F14="フラグ","boolean",IF(F14="文字列","text",IF(F14="整数","integer",IF(F14="実数","numeric",""))))</f>
        <v>text</v>
      </c>
      <c r="H14" s="26"/>
      <c r="I14" s="10"/>
      <c r="J14" s="11" t="s">
        <v>2750</v>
      </c>
      <c r="M14" s="4"/>
      <c r="N14" s="78"/>
      <c r="O14" s="78"/>
      <c r="P14" s="78" t="str">
        <f t="shared" ref="P14:P26" si="4">IF(B14&lt;&gt;1,","&amp;D14,D14)</f>
        <v>,iyakuhin_cd</v>
      </c>
      <c r="Q14" s="78" t="str">
        <f t="shared" si="0"/>
        <v>TEXT</v>
      </c>
      <c r="R14" s="78" t="str">
        <f t="shared" si="1"/>
        <v/>
      </c>
      <c r="S14" s="78" t="str">
        <f t="shared" ref="S14:S26" si="5">IF(I14="○","NOT NULL","")</f>
        <v/>
      </c>
      <c r="T14" s="78" t="str">
        <f t="shared" ref="T14:T26" si="6">"-- "&amp;C14</f>
        <v>-- 医薬品コード</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milscm_2023_010.azn_202310_backup_mt2_iyakuhin_tekiyou_byomei_kanren.iyakuhin_cd IS '医薬品コード';</v>
      </c>
    </row>
    <row r="15" spans="1:45" s="25" customFormat="1" ht="37.5">
      <c r="A15" s="4"/>
      <c r="B15" s="21">
        <f t="shared" si="2"/>
        <v>3</v>
      </c>
      <c r="C15" s="6" t="s">
        <v>2158</v>
      </c>
      <c r="D15" s="6" t="s">
        <v>2159</v>
      </c>
      <c r="E15" s="8"/>
      <c r="F15" s="7" t="s">
        <v>1782</v>
      </c>
      <c r="G15" s="7" t="str">
        <f t="shared" si="3"/>
        <v>text</v>
      </c>
      <c r="H15" s="26"/>
      <c r="I15" s="10"/>
      <c r="J15" s="11" t="s">
        <v>2735</v>
      </c>
      <c r="M15" s="4"/>
      <c r="N15" s="78"/>
      <c r="O15" s="78"/>
      <c r="P15" s="78" t="str">
        <f t="shared" si="4"/>
        <v>,iyakuhin_name</v>
      </c>
      <c r="Q15" s="78" t="str">
        <f t="shared" si="0"/>
        <v>TEXT</v>
      </c>
      <c r="R15" s="78" t="str">
        <f t="shared" si="1"/>
        <v/>
      </c>
      <c r="S15" s="78" t="str">
        <f t="shared" si="5"/>
        <v/>
      </c>
      <c r="T15" s="78" t="str">
        <f t="shared" si="6"/>
        <v>-- 医薬品名</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milscm_2023_010.azn_202310_backup_mt2_iyakuhin_tekiyou_byomei_kanren.iyakuhin_name IS '医薬品名';</v>
      </c>
    </row>
    <row r="16" spans="1:45" s="25" customFormat="1" ht="37.5">
      <c r="A16" s="4"/>
      <c r="B16" s="21">
        <f t="shared" si="2"/>
        <v>4</v>
      </c>
      <c r="C16" s="6" t="s">
        <v>2128</v>
      </c>
      <c r="D16" s="6" t="s">
        <v>2746</v>
      </c>
      <c r="E16" s="8" t="s">
        <v>127</v>
      </c>
      <c r="F16" s="7" t="s">
        <v>1782</v>
      </c>
      <c r="G16" s="7" t="str">
        <f t="shared" si="3"/>
        <v>text</v>
      </c>
      <c r="H16" s="26"/>
      <c r="I16" s="10" t="s">
        <v>127</v>
      </c>
      <c r="J16" s="11" t="s">
        <v>2749</v>
      </c>
      <c r="M16" s="4"/>
      <c r="N16" s="78"/>
      <c r="O16" s="78"/>
      <c r="P16" s="78" t="str">
        <f t="shared" si="4"/>
        <v>,tekiyou_byoumei_cd</v>
      </c>
      <c r="Q16" s="78" t="str">
        <f t="shared" si="0"/>
        <v>TEXT</v>
      </c>
      <c r="R16" s="78" t="str">
        <f t="shared" si="1"/>
        <v/>
      </c>
      <c r="S16" s="78" t="str">
        <f t="shared" si="5"/>
        <v>NOT NULL</v>
      </c>
      <c r="T16" s="78" t="str">
        <f t="shared" si="6"/>
        <v>-- 適用病名コード</v>
      </c>
      <c r="U16" s="4"/>
      <c r="AA16" s="4"/>
      <c r="AB16" s="4"/>
      <c r="AC16" s="4"/>
      <c r="AD16" s="4"/>
      <c r="AE16" s="4"/>
      <c r="AF16" s="4"/>
      <c r="AG16" s="4"/>
      <c r="AH16" s="4"/>
      <c r="AI16" s="4"/>
      <c r="AJ16" s="78" t="str">
        <f>IF(E16="○",IF(COUNTA(E$13:E16)=1,"",",")&amp;D16,"")</f>
        <v>,tekiyou_byoumei_cd</v>
      </c>
      <c r="AK16" s="4"/>
      <c r="AL16" s="4"/>
      <c r="AM16" s="4"/>
      <c r="AN16" s="4"/>
      <c r="AO16" s="4"/>
      <c r="AP16" s="4"/>
      <c r="AQ16" s="4"/>
      <c r="AR16" s="4"/>
      <c r="AS16" s="78" t="str">
        <f>"COMMENT ON COLUMN "&amp;エンティティ一覧!$O$2&amp;"."&amp;D$8&amp;"."&amp;D16&amp;" IS '"&amp;C16&amp;"';"</f>
        <v>COMMENT ON COLUMN milscm_2023_010.azn_202310_backup_mt2_iyakuhin_tekiyou_byomei_kanren.tekiyou_byoumei_cd IS '適用病名コード';</v>
      </c>
    </row>
    <row r="17" spans="1:52" s="25" customFormat="1">
      <c r="A17" s="4"/>
      <c r="B17" s="21">
        <f t="shared" si="2"/>
        <v>5</v>
      </c>
      <c r="C17" s="6" t="s">
        <v>2152</v>
      </c>
      <c r="D17" s="6" t="s">
        <v>2153</v>
      </c>
      <c r="E17" s="8"/>
      <c r="F17" s="7" t="s">
        <v>1782</v>
      </c>
      <c r="G17" s="7" t="str">
        <f t="shared" si="3"/>
        <v>text</v>
      </c>
      <c r="H17" s="26"/>
      <c r="I17" s="10" t="s">
        <v>127</v>
      </c>
      <c r="J17" s="11" t="s">
        <v>2751</v>
      </c>
      <c r="M17" s="4"/>
      <c r="N17" s="78"/>
      <c r="O17" s="78"/>
      <c r="P17" s="78" t="str">
        <f t="shared" si="4"/>
        <v>,tekiyou_byoumei_name</v>
      </c>
      <c r="Q17" s="78" t="str">
        <f t="shared" si="0"/>
        <v>TEXT</v>
      </c>
      <c r="R17" s="78" t="str">
        <f t="shared" si="1"/>
        <v/>
      </c>
      <c r="S17" s="78" t="str">
        <f t="shared" si="5"/>
        <v>NOT NULL</v>
      </c>
      <c r="T17" s="78" t="str">
        <f t="shared" si="6"/>
        <v>-- 適用病名</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milscm_2023_010.azn_202310_backup_mt2_iyakuhin_tekiyou_byomei_kanren.tekiyou_byoumei_name IS '適用病名';</v>
      </c>
    </row>
    <row r="18" spans="1:52" s="25" customFormat="1" ht="37.5">
      <c r="A18" s="4"/>
      <c r="B18" s="21">
        <f t="shared" si="2"/>
        <v>6</v>
      </c>
      <c r="C18" s="6" t="s">
        <v>2130</v>
      </c>
      <c r="D18" s="6" t="s">
        <v>2697</v>
      </c>
      <c r="E18" s="8" t="s">
        <v>127</v>
      </c>
      <c r="F18" s="7" t="s">
        <v>1782</v>
      </c>
      <c r="G18" s="7" t="str">
        <f t="shared" si="3"/>
        <v>text</v>
      </c>
      <c r="H18" s="26"/>
      <c r="I18" s="10" t="s">
        <v>127</v>
      </c>
      <c r="J18" s="11" t="s">
        <v>2752</v>
      </c>
      <c r="M18" s="4"/>
      <c r="N18" s="78"/>
      <c r="O18" s="78"/>
      <c r="P18" s="78" t="str">
        <f t="shared" si="4"/>
        <v>,shikkan_cd</v>
      </c>
      <c r="Q18" s="78" t="str">
        <f t="shared" si="0"/>
        <v>TEXT</v>
      </c>
      <c r="R18" s="78" t="str">
        <f t="shared" si="1"/>
        <v/>
      </c>
      <c r="S18" s="78" t="str">
        <f t="shared" si="5"/>
        <v>NOT NULL</v>
      </c>
      <c r="T18" s="78" t="str">
        <f t="shared" si="6"/>
        <v>-- 疾患コード</v>
      </c>
      <c r="U18" s="4"/>
      <c r="AA18" s="4"/>
      <c r="AB18" s="4"/>
      <c r="AC18" s="4"/>
      <c r="AD18" s="4"/>
      <c r="AE18" s="4"/>
      <c r="AF18" s="4"/>
      <c r="AG18" s="4"/>
      <c r="AH18" s="4"/>
      <c r="AI18" s="4"/>
      <c r="AJ18" s="78" t="str">
        <f>IF(E18="○",IF(COUNTA(E$13:E18)=1,"",",")&amp;D18,"")</f>
        <v>,shikkan_cd</v>
      </c>
      <c r="AK18" s="4"/>
      <c r="AL18" s="4"/>
      <c r="AM18" s="4"/>
      <c r="AN18" s="4"/>
      <c r="AO18" s="4"/>
      <c r="AP18" s="4"/>
      <c r="AQ18" s="4"/>
      <c r="AR18" s="4"/>
      <c r="AS18" s="78" t="str">
        <f>"COMMENT ON COLUMN "&amp;エンティティ一覧!$O$2&amp;"."&amp;D$8&amp;"."&amp;D18&amp;" IS '"&amp;C18&amp;"';"</f>
        <v>COMMENT ON COLUMN milscm_2023_010.azn_202310_backup_mt2_iyakuhin_tekiyou_byomei_kanren.shikkan_cd IS '疾患コード';</v>
      </c>
    </row>
    <row r="19" spans="1:52" s="25" customFormat="1" ht="37.5">
      <c r="A19" s="4"/>
      <c r="B19" s="21">
        <f t="shared" si="2"/>
        <v>7</v>
      </c>
      <c r="C19" s="6" t="s">
        <v>2132</v>
      </c>
      <c r="D19" s="6" t="s">
        <v>2133</v>
      </c>
      <c r="E19" s="8"/>
      <c r="F19" s="7" t="s">
        <v>1782</v>
      </c>
      <c r="G19" s="7" t="str">
        <f t="shared" si="3"/>
        <v>text</v>
      </c>
      <c r="H19" s="26"/>
      <c r="I19" s="10"/>
      <c r="J19" s="11" t="s">
        <v>2752</v>
      </c>
      <c r="M19" s="4"/>
      <c r="N19" s="78"/>
      <c r="O19" s="78"/>
      <c r="P19" s="78" t="str">
        <f t="shared" si="4"/>
        <v>,shikkan_name</v>
      </c>
      <c r="Q19" s="78" t="str">
        <f t="shared" si="0"/>
        <v>TEXT</v>
      </c>
      <c r="R19" s="78" t="str">
        <f t="shared" si="1"/>
        <v/>
      </c>
      <c r="S19" s="78" t="str">
        <f t="shared" si="5"/>
        <v/>
      </c>
      <c r="T19" s="78" t="str">
        <f t="shared" si="6"/>
        <v>-- 疾患名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milscm_2023_010.azn_202310_backup_mt2_iyakuhin_tekiyou_byomei_kanren.shikkan_name IS '疾患名';</v>
      </c>
    </row>
    <row r="20" spans="1:52" s="25" customFormat="1" ht="75">
      <c r="A20" s="4"/>
      <c r="B20" s="21">
        <f t="shared" si="2"/>
        <v>8</v>
      </c>
      <c r="C20" s="6" t="s">
        <v>2137</v>
      </c>
      <c r="D20" s="6" t="s">
        <v>2747</v>
      </c>
      <c r="E20" s="8"/>
      <c r="F20" s="7" t="s">
        <v>1782</v>
      </c>
      <c r="G20" s="7" t="str">
        <f t="shared" si="3"/>
        <v>text</v>
      </c>
      <c r="H20" s="26"/>
      <c r="I20" s="10"/>
      <c r="J20" s="11" t="s">
        <v>2753</v>
      </c>
      <c r="M20" s="4"/>
      <c r="N20" s="78"/>
      <c r="O20" s="78"/>
      <c r="P20" s="78" t="str">
        <f t="shared" si="4"/>
        <v>,kumiawase_cd</v>
      </c>
      <c r="Q20" s="78" t="str">
        <f t="shared" si="0"/>
        <v>TEXT</v>
      </c>
      <c r="R20" s="78" t="str">
        <f t="shared" si="1"/>
        <v/>
      </c>
      <c r="S20" s="78" t="str">
        <f t="shared" si="5"/>
        <v/>
      </c>
      <c r="T20" s="78" t="str">
        <f t="shared" si="6"/>
        <v>-- 組み合わせコード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milscm_2023_010.azn_202310_backup_mt2_iyakuhin_tekiyou_byomei_kanren.kumiawase_cd IS '組み合わせコード';</v>
      </c>
    </row>
    <row r="21" spans="1:52" s="25" customFormat="1" ht="75">
      <c r="A21" s="4"/>
      <c r="B21" s="21">
        <f t="shared" si="2"/>
        <v>9</v>
      </c>
      <c r="C21" s="6" t="s">
        <v>2139</v>
      </c>
      <c r="D21" s="6" t="s">
        <v>2748</v>
      </c>
      <c r="E21" s="8"/>
      <c r="F21" s="7" t="s">
        <v>1782</v>
      </c>
      <c r="G21" s="7" t="str">
        <f t="shared" si="3"/>
        <v>text</v>
      </c>
      <c r="H21" s="26"/>
      <c r="I21" s="10"/>
      <c r="J21" s="11" t="s">
        <v>2754</v>
      </c>
      <c r="M21" s="4"/>
      <c r="N21" s="78"/>
      <c r="O21" s="78"/>
      <c r="P21" s="78" t="str">
        <f t="shared" si="4"/>
        <v>,kankeisei_cd</v>
      </c>
      <c r="Q21" s="78" t="str">
        <f t="shared" si="0"/>
        <v>TEXT</v>
      </c>
      <c r="R21" s="78" t="str">
        <f t="shared" si="1"/>
        <v/>
      </c>
      <c r="S21" s="78" t="str">
        <f t="shared" si="5"/>
        <v/>
      </c>
      <c r="T21" s="78" t="str">
        <f t="shared" si="6"/>
        <v>-- 関係性レベルコード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milscm_2023_010.azn_202310_backup_mt2_iyakuhin_tekiyou_byomei_kanren.kankeisei_cd IS '関係性レベルコード';</v>
      </c>
    </row>
    <row r="22" spans="1:52" s="25" customFormat="1" ht="37.5">
      <c r="A22" s="4"/>
      <c r="B22" s="21">
        <f t="shared" si="2"/>
        <v>10</v>
      </c>
      <c r="C22" s="6" t="s">
        <v>2444</v>
      </c>
      <c r="D22" s="6" t="s">
        <v>1926</v>
      </c>
      <c r="E22" s="8" t="s">
        <v>127</v>
      </c>
      <c r="F22" s="7" t="s">
        <v>740</v>
      </c>
      <c r="G22" s="7" t="str">
        <f t="shared" si="3"/>
        <v>text</v>
      </c>
      <c r="H22" s="26" t="s">
        <v>1965</v>
      </c>
      <c r="I22" s="10" t="s">
        <v>127</v>
      </c>
      <c r="J22" s="11" t="s">
        <v>2755</v>
      </c>
      <c r="M22" s="4"/>
      <c r="N22" s="78"/>
      <c r="O22" s="78"/>
      <c r="P22" s="78" t="str">
        <f t="shared" si="4"/>
        <v>,update_ymd</v>
      </c>
      <c r="Q22" s="78" t="str">
        <f t="shared" si="0"/>
        <v>TEXT</v>
      </c>
      <c r="R22" s="78" t="str">
        <f t="shared" si="1"/>
        <v>default '99999999'</v>
      </c>
      <c r="S22" s="78" t="str">
        <f t="shared" si="5"/>
        <v>NOT NULL</v>
      </c>
      <c r="T22" s="78" t="str">
        <f t="shared" si="6"/>
        <v>-- データ登録日</v>
      </c>
      <c r="U22" s="4"/>
      <c r="AA22" s="4"/>
      <c r="AB22" s="4"/>
      <c r="AC22" s="4"/>
      <c r="AD22" s="4"/>
      <c r="AE22" s="4"/>
      <c r="AF22" s="4"/>
      <c r="AG22" s="4"/>
      <c r="AH22" s="4"/>
      <c r="AI22" s="4"/>
      <c r="AJ22" s="78" t="str">
        <f>IF(E22="○",IF(COUNTA(E$13:E22)=1,"",",")&amp;D22,"")</f>
        <v>,update_ymd</v>
      </c>
      <c r="AK22" s="4"/>
      <c r="AL22" s="4"/>
      <c r="AM22" s="4"/>
      <c r="AN22" s="4"/>
      <c r="AO22" s="4"/>
      <c r="AP22" s="4"/>
      <c r="AQ22" s="4"/>
      <c r="AR22" s="4"/>
      <c r="AS22" s="78" t="str">
        <f>"COMMENT ON COLUMN "&amp;エンティティ一覧!$O$2&amp;"."&amp;D$8&amp;"."&amp;D22&amp;" IS '"&amp;C22&amp;"';"</f>
        <v>COMMENT ON COLUMN milscm_2023_010.azn_202310_backup_mt2_iyakuhin_tekiyou_byomei_kanren.update_ymd IS 'データ登録日';</v>
      </c>
    </row>
    <row r="23" spans="1:52" s="25" customFormat="1" ht="56.25">
      <c r="A23" s="4"/>
      <c r="B23" s="21">
        <f t="shared" si="2"/>
        <v>11</v>
      </c>
      <c r="C23" s="6" t="s">
        <v>2552</v>
      </c>
      <c r="D23" s="6" t="s">
        <v>2553</v>
      </c>
      <c r="E23" s="8"/>
      <c r="F23" s="7" t="s">
        <v>740</v>
      </c>
      <c r="G23" s="7" t="str">
        <f t="shared" si="3"/>
        <v>text</v>
      </c>
      <c r="H23" s="26">
        <v>0</v>
      </c>
      <c r="I23" s="10" t="s">
        <v>127</v>
      </c>
      <c r="J23" s="11" t="s">
        <v>2741</v>
      </c>
      <c r="M23" s="4"/>
      <c r="N23" s="78"/>
      <c r="O23" s="78"/>
      <c r="P23" s="78" t="str">
        <f t="shared" si="4"/>
        <v>,new_f</v>
      </c>
      <c r="Q23" s="78" t="str">
        <f t="shared" si="0"/>
        <v>TEXT</v>
      </c>
      <c r="R23" s="78" t="str">
        <f t="shared" si="1"/>
        <v>default '0'</v>
      </c>
      <c r="S23" s="78" t="str">
        <f t="shared" si="5"/>
        <v>NOT NULL</v>
      </c>
      <c r="T23" s="78" t="str">
        <f t="shared" si="6"/>
        <v>-- 最新フラグ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milscm_2023_010.azn_202310_backup_mt2_iyakuhin_tekiyou_byomei_kanren.new_f IS '最新フラグ';</v>
      </c>
    </row>
    <row r="24" spans="1:52" s="25" customFormat="1" ht="75">
      <c r="A24" s="4"/>
      <c r="B24" s="21">
        <f t="shared" si="2"/>
        <v>12</v>
      </c>
      <c r="C24" s="6" t="s">
        <v>2579</v>
      </c>
      <c r="D24" s="6" t="s">
        <v>1949</v>
      </c>
      <c r="E24" s="8"/>
      <c r="F24" s="7" t="s">
        <v>740</v>
      </c>
      <c r="G24" s="7" t="str">
        <f t="shared" si="3"/>
        <v>text</v>
      </c>
      <c r="H24" s="26">
        <v>0</v>
      </c>
      <c r="I24" s="10" t="s">
        <v>127</v>
      </c>
      <c r="J24" s="11" t="s">
        <v>2756</v>
      </c>
      <c r="M24" s="4"/>
      <c r="N24" s="78"/>
      <c r="O24" s="78"/>
      <c r="P24" s="78" t="str">
        <f t="shared" si="4"/>
        <v>,del_f</v>
      </c>
      <c r="Q24" s="78" t="str">
        <f t="shared" si="0"/>
        <v>TEXT</v>
      </c>
      <c r="R24" s="78" t="str">
        <f t="shared" si="1"/>
        <v>default '0'</v>
      </c>
      <c r="S24" s="78" t="str">
        <f t="shared" si="5"/>
        <v>NOT NULL</v>
      </c>
      <c r="T24" s="78" t="str">
        <f t="shared" si="6"/>
        <v>-- 削除フラグ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milscm_2023_010.azn_202310_backup_mt2_iyakuhin_tekiyou_byomei_kanren.del_f IS '削除フラグ';</v>
      </c>
    </row>
    <row r="25" spans="1:52" s="25" customFormat="1" ht="150">
      <c r="A25" s="4"/>
      <c r="B25" s="21">
        <f t="shared" si="2"/>
        <v>13</v>
      </c>
      <c r="C25" s="6" t="s">
        <v>2012</v>
      </c>
      <c r="D25" s="6" t="s">
        <v>1951</v>
      </c>
      <c r="E25" s="8"/>
      <c r="F25" s="7" t="s">
        <v>740</v>
      </c>
      <c r="G25" s="7" t="str">
        <f t="shared" si="3"/>
        <v>text</v>
      </c>
      <c r="H25" s="26" t="s">
        <v>1965</v>
      </c>
      <c r="I25" s="10" t="s">
        <v>127</v>
      </c>
      <c r="J25" s="11" t="s">
        <v>2757</v>
      </c>
      <c r="M25" s="4"/>
      <c r="N25" s="78"/>
      <c r="O25" s="78"/>
      <c r="P25" s="78" t="str">
        <f t="shared" si="4"/>
        <v>,henkou_ymd</v>
      </c>
      <c r="Q25" s="78" t="str">
        <f t="shared" si="0"/>
        <v>TEXT</v>
      </c>
      <c r="R25" s="78" t="str">
        <f t="shared" si="1"/>
        <v>default '99999999'</v>
      </c>
      <c r="S25" s="78" t="str">
        <f t="shared" si="5"/>
        <v>NOT NULL</v>
      </c>
      <c r="T25" s="78" t="str">
        <f t="shared" si="6"/>
        <v>-- 変更年月日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milscm_2023_010.azn_202310_backup_mt2_iyakuhin_tekiyou_byomei_kanren.henkou_ymd IS '変更年月日';</v>
      </c>
    </row>
    <row r="26" spans="1:52" s="25" customFormat="1" ht="94.5" thickBot="1">
      <c r="A26" s="4"/>
      <c r="B26" s="27">
        <f>ROW()-12</f>
        <v>14</v>
      </c>
      <c r="C26" s="57" t="s">
        <v>1952</v>
      </c>
      <c r="D26" s="57" t="s">
        <v>1953</v>
      </c>
      <c r="E26" s="56"/>
      <c r="F26" s="56" t="s">
        <v>740</v>
      </c>
      <c r="G26" s="56" t="str">
        <f t="shared" si="3"/>
        <v>text</v>
      </c>
      <c r="H26" s="59" t="s">
        <v>1965</v>
      </c>
      <c r="I26" s="60" t="s">
        <v>127</v>
      </c>
      <c r="J26" s="64" t="s">
        <v>2758</v>
      </c>
      <c r="N26" s="78"/>
      <c r="O26" s="78"/>
      <c r="P26" s="78" t="str">
        <f t="shared" si="4"/>
        <v>,del_ymd</v>
      </c>
      <c r="Q26" s="78" t="str">
        <f t="shared" si="0"/>
        <v>TEXT</v>
      </c>
      <c r="R26" s="78" t="str">
        <f t="shared" si="1"/>
        <v>default '99999999'</v>
      </c>
      <c r="S26" s="78" t="str">
        <f t="shared" si="5"/>
        <v>NOT NULL</v>
      </c>
      <c r="T26" s="78" t="str">
        <f t="shared" si="6"/>
        <v>-- 廃止年月日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milscm_2023_010.azn_202310_backup_mt2_iyakuhin_tekiyou_byomei_kanren.del_ymd IS '廃止年月日';</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83" t="s">
        <v>2759</v>
      </c>
      <c r="C30" s="87"/>
      <c r="D30" s="84"/>
      <c r="E30" s="84"/>
      <c r="F30" s="84"/>
      <c r="G30" s="84"/>
      <c r="H30" s="84"/>
      <c r="I30" s="84"/>
      <c r="J30" s="84"/>
      <c r="K30" s="84"/>
      <c r="L30" s="84"/>
      <c r="M30" s="88"/>
    </row>
    <row r="31" spans="1:52" s="25" customFormat="1">
      <c r="A31" s="4"/>
      <c r="C31" s="25" t="s">
        <v>2760</v>
      </c>
      <c r="M31" s="12"/>
      <c r="W31" s="4"/>
    </row>
    <row r="32" spans="1:52">
      <c r="B32" s="84" t="s">
        <v>2761</v>
      </c>
      <c r="C32" s="84"/>
      <c r="D32" s="84"/>
      <c r="E32" s="84"/>
      <c r="F32" s="84"/>
      <c r="G32" s="84"/>
      <c r="H32" s="84"/>
      <c r="I32" s="84"/>
      <c r="J32" s="84"/>
      <c r="K32" s="84"/>
      <c r="L32" s="84"/>
      <c r="M32" s="88"/>
    </row>
    <row r="33" spans="1:23">
      <c r="B33" s="84"/>
      <c r="C33" s="85" t="s">
        <v>2762</v>
      </c>
      <c r="D33" s="244" t="s">
        <v>2763</v>
      </c>
      <c r="E33" s="245"/>
      <c r="F33" s="245"/>
      <c r="G33" s="245"/>
      <c r="H33" s="246"/>
      <c r="I33" s="244" t="s">
        <v>2764</v>
      </c>
      <c r="J33" s="246"/>
    </row>
    <row r="34" spans="1:23" ht="18.75" customHeight="1">
      <c r="B34" s="84"/>
      <c r="C34" s="86" t="s">
        <v>2765</v>
      </c>
      <c r="D34" s="241" t="s">
        <v>2766</v>
      </c>
      <c r="E34" s="242"/>
      <c r="F34" s="242"/>
      <c r="G34" s="242"/>
      <c r="H34" s="243"/>
      <c r="I34" s="241" t="s">
        <v>2767</v>
      </c>
      <c r="J34" s="243"/>
    </row>
    <row r="35" spans="1:23" ht="18.75" customHeight="1">
      <c r="B35" s="84"/>
      <c r="C35" s="86" t="s">
        <v>2768</v>
      </c>
      <c r="D35" s="241" t="s">
        <v>2823</v>
      </c>
      <c r="E35" s="242"/>
      <c r="F35" s="242"/>
      <c r="G35" s="242"/>
      <c r="H35" s="243"/>
      <c r="I35" s="241" t="s">
        <v>2813</v>
      </c>
      <c r="J35" s="243"/>
    </row>
    <row r="36" spans="1:23" ht="18.75" customHeight="1">
      <c r="B36" s="84"/>
      <c r="C36" s="86" t="s">
        <v>2769</v>
      </c>
      <c r="D36" s="241" t="s">
        <v>2770</v>
      </c>
      <c r="E36" s="242"/>
      <c r="F36" s="242"/>
      <c r="G36" s="242"/>
      <c r="H36" s="243"/>
      <c r="I36" s="241" t="s">
        <v>2814</v>
      </c>
      <c r="J36" s="243"/>
    </row>
    <row r="37" spans="1:23" ht="18.75" customHeight="1">
      <c r="B37" s="84"/>
      <c r="C37" s="86" t="s">
        <v>2771</v>
      </c>
      <c r="D37" s="241" t="s">
        <v>2772</v>
      </c>
      <c r="E37" s="242"/>
      <c r="F37" s="242"/>
      <c r="G37" s="242"/>
      <c r="H37" s="243"/>
      <c r="I37" s="241" t="s">
        <v>2815</v>
      </c>
      <c r="J37" s="243"/>
    </row>
    <row r="38" spans="1:23" ht="18.75" customHeight="1">
      <c r="B38" s="84"/>
      <c r="C38" s="86" t="s">
        <v>2773</v>
      </c>
      <c r="D38" s="241" t="s">
        <v>2774</v>
      </c>
      <c r="E38" s="242"/>
      <c r="F38" s="242"/>
      <c r="G38" s="242"/>
      <c r="H38" s="243"/>
      <c r="I38" s="241" t="s">
        <v>2816</v>
      </c>
      <c r="J38" s="243"/>
    </row>
    <row r="39" spans="1:23" ht="18.75" customHeight="1">
      <c r="B39" s="84"/>
      <c r="C39" s="86" t="s">
        <v>2775</v>
      </c>
      <c r="D39" s="241" t="s">
        <v>2776</v>
      </c>
      <c r="E39" s="242"/>
      <c r="F39" s="242"/>
      <c r="G39" s="242"/>
      <c r="H39" s="243"/>
      <c r="I39" s="241" t="s">
        <v>2817</v>
      </c>
      <c r="J39" s="243"/>
    </row>
    <row r="40" spans="1:23" ht="18.75" customHeight="1">
      <c r="B40" s="84"/>
      <c r="C40" s="86" t="s">
        <v>2777</v>
      </c>
      <c r="D40" s="241" t="s">
        <v>2778</v>
      </c>
      <c r="E40" s="242"/>
      <c r="F40" s="242"/>
      <c r="G40" s="242"/>
      <c r="H40" s="243"/>
      <c r="I40" s="241" t="s">
        <v>2818</v>
      </c>
      <c r="J40" s="243"/>
    </row>
    <row r="41" spans="1:23" ht="18.75" customHeight="1">
      <c r="B41" s="84"/>
      <c r="C41" s="86" t="s">
        <v>2779</v>
      </c>
      <c r="D41" s="241" t="s">
        <v>2780</v>
      </c>
      <c r="E41" s="242"/>
      <c r="F41" s="242"/>
      <c r="G41" s="242"/>
      <c r="H41" s="243"/>
      <c r="I41" s="241" t="s">
        <v>2818</v>
      </c>
      <c r="J41" s="243"/>
    </row>
    <row r="42" spans="1:23" ht="18.75" customHeight="1">
      <c r="B42" s="84"/>
      <c r="C42" s="86" t="s">
        <v>2781</v>
      </c>
      <c r="D42" s="241" t="s">
        <v>2782</v>
      </c>
      <c r="E42" s="242"/>
      <c r="F42" s="242"/>
      <c r="G42" s="242"/>
      <c r="H42" s="243"/>
      <c r="I42" s="241" t="s">
        <v>2819</v>
      </c>
      <c r="J42" s="243"/>
    </row>
    <row r="43" spans="1:23" ht="18.75" customHeight="1">
      <c r="B43" s="84"/>
      <c r="C43" s="86" t="s">
        <v>2783</v>
      </c>
      <c r="D43" s="241" t="s">
        <v>2784</v>
      </c>
      <c r="E43" s="242"/>
      <c r="F43" s="242"/>
      <c r="G43" s="242"/>
      <c r="H43" s="243"/>
      <c r="I43" s="241" t="s">
        <v>2820</v>
      </c>
      <c r="J43" s="243"/>
    </row>
    <row r="44" spans="1:23" ht="18.75" customHeight="1">
      <c r="B44" s="84"/>
      <c r="C44" s="86" t="s">
        <v>2785</v>
      </c>
      <c r="D44" s="241" t="s">
        <v>2786</v>
      </c>
      <c r="E44" s="242"/>
      <c r="F44" s="242"/>
      <c r="G44" s="242"/>
      <c r="H44" s="243"/>
      <c r="I44" s="241" t="s">
        <v>2820</v>
      </c>
      <c r="J44" s="243"/>
    </row>
    <row r="45" spans="1:23" ht="18.75" customHeight="1">
      <c r="B45" s="84"/>
      <c r="C45" s="86" t="s">
        <v>2787</v>
      </c>
      <c r="D45" s="241" t="s">
        <v>2788</v>
      </c>
      <c r="E45" s="242"/>
      <c r="F45" s="242"/>
      <c r="G45" s="242"/>
      <c r="H45" s="243"/>
      <c r="I45" s="241" t="s">
        <v>2821</v>
      </c>
      <c r="J45" s="243"/>
    </row>
    <row r="46" spans="1:23" ht="18.75" customHeight="1">
      <c r="B46" s="84"/>
      <c r="C46" s="86" t="s">
        <v>2789</v>
      </c>
      <c r="D46" s="241" t="s">
        <v>2790</v>
      </c>
      <c r="E46" s="242"/>
      <c r="F46" s="242"/>
      <c r="G46" s="242"/>
      <c r="H46" s="243"/>
      <c r="I46" s="241" t="s">
        <v>2822</v>
      </c>
      <c r="J46" s="243"/>
    </row>
    <row r="47" spans="1:23" s="25" customFormat="1">
      <c r="A47" s="4"/>
      <c r="M47" s="12"/>
      <c r="W47" s="4"/>
    </row>
    <row r="48" spans="1:23" s="25" customFormat="1">
      <c r="A48" s="4"/>
      <c r="B48" s="84" t="s">
        <v>2791</v>
      </c>
      <c r="C48" s="84"/>
      <c r="D48" s="84"/>
      <c r="E48" s="84"/>
      <c r="F48" s="84"/>
      <c r="G48" s="84"/>
      <c r="H48" s="84"/>
      <c r="I48" s="84"/>
      <c r="J48" s="84"/>
      <c r="K48" s="84"/>
      <c r="L48" s="84"/>
      <c r="M48" s="88"/>
      <c r="W48" s="4"/>
    </row>
    <row r="49" spans="1:52" s="25" customFormat="1">
      <c r="A49" s="4"/>
      <c r="B49" s="84"/>
      <c r="C49" s="85" t="s">
        <v>2792</v>
      </c>
      <c r="D49" s="248" t="s">
        <v>2763</v>
      </c>
      <c r="E49" s="248"/>
      <c r="F49" s="248"/>
      <c r="G49" s="248"/>
      <c r="H49" s="248"/>
      <c r="N49" s="4"/>
    </row>
    <row r="50" spans="1:52" s="25" customFormat="1">
      <c r="A50" s="4"/>
      <c r="B50" s="84"/>
      <c r="C50" s="89" t="s">
        <v>2793</v>
      </c>
      <c r="D50" s="247" t="s">
        <v>2794</v>
      </c>
      <c r="E50" s="247"/>
      <c r="F50" s="247"/>
      <c r="G50" s="247"/>
      <c r="H50" s="247"/>
      <c r="N50" s="4"/>
    </row>
    <row r="51" spans="1:52" s="25" customFormat="1">
      <c r="A51" s="4"/>
      <c r="B51" s="84"/>
      <c r="C51" s="89" t="s">
        <v>2795</v>
      </c>
      <c r="D51" s="247" t="s">
        <v>2796</v>
      </c>
      <c r="E51" s="247"/>
      <c r="F51" s="247"/>
      <c r="G51" s="247"/>
      <c r="H51" s="247"/>
      <c r="N51" s="4"/>
    </row>
    <row r="52" spans="1:52" s="25" customFormat="1">
      <c r="A52" s="4"/>
      <c r="B52" s="84"/>
      <c r="C52" s="89" t="s">
        <v>2797</v>
      </c>
      <c r="D52" s="247" t="s">
        <v>2798</v>
      </c>
      <c r="E52" s="247"/>
      <c r="F52" s="247"/>
      <c r="G52" s="247"/>
      <c r="H52" s="247"/>
      <c r="J52" s="25" t="s">
        <v>2799</v>
      </c>
      <c r="N52" s="4"/>
    </row>
    <row r="53" spans="1:52" s="25" customFormat="1">
      <c r="A53" s="4"/>
      <c r="B53" s="84"/>
      <c r="C53" s="89" t="s">
        <v>2800</v>
      </c>
      <c r="D53" s="247" t="s">
        <v>2801</v>
      </c>
      <c r="E53" s="247"/>
      <c r="F53" s="247"/>
      <c r="G53" s="247"/>
      <c r="H53" s="247"/>
      <c r="J53" s="25" t="s">
        <v>2802</v>
      </c>
      <c r="N53" s="4"/>
    </row>
    <row r="54" spans="1:52" s="25" customFormat="1" ht="18.75" customHeight="1">
      <c r="A54" s="4"/>
      <c r="B54" s="84"/>
      <c r="C54" s="89" t="s">
        <v>2803</v>
      </c>
      <c r="D54" s="247" t="s">
        <v>2804</v>
      </c>
      <c r="E54" s="247"/>
      <c r="F54" s="247"/>
      <c r="G54" s="247"/>
      <c r="H54" s="247"/>
      <c r="N54" s="4"/>
    </row>
    <row r="55" spans="1:52" s="25" customFormat="1">
      <c r="A55" s="4"/>
      <c r="B55" s="84"/>
      <c r="C55" s="86" t="s">
        <v>2789</v>
      </c>
      <c r="D55" s="247" t="s">
        <v>2805</v>
      </c>
      <c r="E55" s="247"/>
      <c r="F55" s="247"/>
      <c r="G55" s="247"/>
      <c r="H55" s="247"/>
      <c r="N55" s="4"/>
    </row>
    <row r="56" spans="1:52" s="25" customFormat="1">
      <c r="A56" s="4"/>
      <c r="M56" s="12"/>
      <c r="W56" s="4"/>
    </row>
    <row r="57" spans="1:52" s="25" customFormat="1">
      <c r="A57" s="4"/>
      <c r="C57" s="25" t="s">
        <v>2806</v>
      </c>
      <c r="M57" s="12"/>
      <c r="W57" s="4"/>
    </row>
    <row r="58" spans="1:52" s="25" customFormat="1">
      <c r="A58" s="4"/>
      <c r="C58" s="85" t="s">
        <v>2792</v>
      </c>
      <c r="D58" s="248" t="s">
        <v>2763</v>
      </c>
      <c r="E58" s="248"/>
      <c r="F58" s="248"/>
      <c r="G58" s="248"/>
      <c r="H58" s="248"/>
      <c r="M58" s="12"/>
      <c r="W58" s="4"/>
    </row>
    <row r="59" spans="1:52" s="25" customFormat="1">
      <c r="A59" s="4"/>
      <c r="C59" s="89" t="s">
        <v>2807</v>
      </c>
      <c r="D59" s="247" t="s">
        <v>2808</v>
      </c>
      <c r="E59" s="247"/>
      <c r="F59" s="247"/>
      <c r="G59" s="247"/>
      <c r="H59" s="247"/>
      <c r="M59" s="12"/>
      <c r="W59" s="4"/>
    </row>
    <row r="60" spans="1:52" s="25" customFormat="1">
      <c r="A60" s="4"/>
      <c r="C60" s="89" t="s">
        <v>2809</v>
      </c>
      <c r="D60" s="247" t="s">
        <v>2810</v>
      </c>
      <c r="E60" s="247"/>
      <c r="F60" s="247"/>
      <c r="G60" s="247"/>
      <c r="H60" s="247"/>
      <c r="M60" s="12"/>
      <c r="W60" s="4"/>
    </row>
    <row r="61" spans="1:52" s="25" customFormat="1">
      <c r="A61" s="4"/>
      <c r="C61" s="89" t="s">
        <v>2811</v>
      </c>
      <c r="D61" s="247" t="s">
        <v>2812</v>
      </c>
      <c r="E61" s="247"/>
      <c r="F61" s="247"/>
      <c r="G61" s="247"/>
      <c r="H61" s="247"/>
      <c r="M61" s="12"/>
      <c r="W61" s="4"/>
    </row>
    <row r="62" spans="1:52" s="25" customFormat="1">
      <c r="A62" s="4"/>
      <c r="C62" s="86" t="s">
        <v>2789</v>
      </c>
      <c r="D62" s="247" t="s">
        <v>2805</v>
      </c>
      <c r="E62" s="247"/>
      <c r="F62" s="247"/>
      <c r="G62" s="247"/>
      <c r="H62" s="247"/>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B4:C4"/>
    <mergeCell ref="D4:J4"/>
    <mergeCell ref="B1:C2"/>
    <mergeCell ref="D1:G1"/>
    <mergeCell ref="H1:I1"/>
    <mergeCell ref="D2:G2"/>
    <mergeCell ref="H2:I2"/>
    <mergeCell ref="B5:C5"/>
    <mergeCell ref="D5:J5"/>
    <mergeCell ref="B6:C6"/>
    <mergeCell ref="D6:J6"/>
    <mergeCell ref="B7:C7"/>
    <mergeCell ref="D7:J7"/>
    <mergeCell ref="D40:H40"/>
    <mergeCell ref="D41:H41"/>
    <mergeCell ref="D39:H39"/>
    <mergeCell ref="B8:C8"/>
    <mergeCell ref="D8:J8"/>
    <mergeCell ref="B9:C9"/>
    <mergeCell ref="D9:J9"/>
    <mergeCell ref="D38:H38"/>
    <mergeCell ref="D34:H34"/>
    <mergeCell ref="D35:H35"/>
    <mergeCell ref="D36:H36"/>
    <mergeCell ref="D37:H37"/>
    <mergeCell ref="I46:J46"/>
    <mergeCell ref="I43:J43"/>
    <mergeCell ref="I44:J44"/>
    <mergeCell ref="I45:J45"/>
    <mergeCell ref="I41:J41"/>
    <mergeCell ref="I42:J42"/>
    <mergeCell ref="D60:H60"/>
    <mergeCell ref="D49:H49"/>
    <mergeCell ref="D50:H50"/>
    <mergeCell ref="D51:H51"/>
    <mergeCell ref="D52:H52"/>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42:H42"/>
    <mergeCell ref="D43:H43"/>
    <mergeCell ref="D44:H44"/>
    <mergeCell ref="D45:H45"/>
    <mergeCell ref="D46:H46"/>
  </mergeCells>
  <phoneticPr fontId="8"/>
  <hyperlinks>
    <hyperlink ref="A1" location="エンティティ一覧!A1" display="エンティティ一覧" xr:uid="{00000000-0004-0000-4400-00000000000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ENT_01_A6-02</v>
      </c>
      <c r="E6" s="239"/>
      <c r="F6" s="239"/>
      <c r="G6" s="239"/>
      <c r="H6" s="239"/>
      <c r="I6" s="239"/>
      <c r="J6" s="240"/>
    </row>
    <row r="7" spans="1:45">
      <c r="B7" s="228" t="s">
        <v>115</v>
      </c>
      <c r="C7" s="229"/>
      <c r="D7" s="230" t="s">
        <v>3232</v>
      </c>
      <c r="E7" s="231"/>
      <c r="F7" s="231"/>
      <c r="G7" s="231"/>
      <c r="H7" s="231"/>
      <c r="I7" s="231"/>
      <c r="J7" s="232"/>
    </row>
    <row r="8" spans="1:45">
      <c r="B8" s="228" t="s">
        <v>116</v>
      </c>
      <c r="C8" s="229"/>
      <c r="D8" s="230" t="str">
        <f>エンティティ一覧!AE2&amp;"_"&amp;D5&amp;"_text_mml_common"</f>
        <v>azn_202310_backup_text_mml_common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MML共通テーブルから組入れ条件の第一条件で絞り込んだ結果を格納するテーブル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milscm_2023_010.azn_202310_backup_text_mml_common;</v>
      </c>
      <c r="O10" s="78"/>
      <c r="P10" s="78"/>
      <c r="Q10" s="78"/>
      <c r="R10" s="78"/>
      <c r="S10" s="78"/>
      <c r="T10" s="78"/>
      <c r="AJ10" s="78" t="str">
        <f>"ALTER TABLE ONLY "&amp;エンティティ一覧!$O$2&amp;"."&amp;D$8</f>
        <v>ALTER TABLE ONLY milscm_2023_010.azn_202310_backup_text_mml_common</v>
      </c>
      <c r="AS10" s="78" t="str">
        <f>"ALTER TABLE "&amp;エンティティ一覧!$O$2&amp;"."&amp;D$8&amp;" OWNER TO pgmisgrp1;"</f>
        <v>ALTER TABLE milscm_2023_010.azn_202310_backup_text_mml_common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milscm_2023_010.azn_202310_backup_text_mml_common</v>
      </c>
      <c r="O11" s="78"/>
      <c r="P11" s="78"/>
      <c r="Q11" s="78"/>
      <c r="R11" s="78"/>
      <c r="S11" s="78"/>
      <c r="T11" s="78"/>
      <c r="AJ11" s="78" t="str">
        <f>"ADD CONSTRAINT "&amp;D$8&amp;"_pkey PRIMARY KEY"</f>
        <v>ADD CONSTRAINT azn_202310_backup_text_mml_common_pkey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milscm_2023_010.azn_202310_backup_text_mml_common IS 'バックアップ_MML共通';</v>
      </c>
    </row>
    <row r="13" spans="1:45" s="25" customFormat="1">
      <c r="A13" s="4"/>
      <c r="B13" s="21">
        <f>ROW()-12</f>
        <v>1</v>
      </c>
      <c r="C13" s="6" t="s">
        <v>2825</v>
      </c>
      <c r="D13" s="6" t="s">
        <v>2826</v>
      </c>
      <c r="E13" s="8" t="s">
        <v>127</v>
      </c>
      <c r="F13" s="8" t="s">
        <v>3317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milscm_2023_010.azn_202310_backup_text_mml_common.zip_no IS 'ZipファイルNo';</v>
      </c>
    </row>
    <row r="14" spans="1:45" s="25" customFormat="1">
      <c r="A14" s="4"/>
      <c r="B14" s="21">
        <f t="shared" ref="B14:B22" si="2">ROW()-12</f>
        <v>2</v>
      </c>
      <c r="C14" s="6" t="s">
        <v>2828</v>
      </c>
      <c r="D14" s="6" t="s">
        <v>2829</v>
      </c>
      <c r="E14" s="8" t="s">
        <v>127</v>
      </c>
      <c r="F14" s="7" t="s">
        <v>3317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milscm_2023_010.azn_202310_backup_text_mml_common.file_no IS 'ファイルNo';</v>
      </c>
    </row>
    <row r="15" spans="1:45" s="25" customFormat="1">
      <c r="A15" s="4"/>
      <c r="B15" s="21">
        <f t="shared" si="2"/>
        <v>3</v>
      </c>
      <c r="C15" s="6" t="s">
        <v>3306</v>
      </c>
      <c r="D15" s="6" t="s">
        <v>2831</v>
      </c>
      <c r="E15" s="8" t="s">
        <v>127</v>
      </c>
      <c r="F15" s="7" t="s">
        <v>3317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milscm_2023_010.azn_202310_backup_text_mml_common.body_no IS '本文No';</v>
      </c>
    </row>
    <row r="16" spans="1:45" s="25" customFormat="1">
      <c r="A16" s="4"/>
      <c r="B16" s="21">
        <f t="shared" si="2"/>
        <v>4</v>
      </c>
      <c r="C16" s="6" t="s">
        <v>3307</v>
      </c>
      <c r="D16" s="6" t="s">
        <v>2448</v>
      </c>
      <c r="E16" s="8"/>
      <c r="F16" s="7" t="s">
        <v>318</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milscm_2023_010.azn_202310_backup_text_mml_common.facility_id_mml IS '施設ID（MML）';</v>
      </c>
    </row>
    <row r="17" spans="1:52" s="25" customFormat="1">
      <c r="A17" s="4"/>
      <c r="B17" s="21">
        <f t="shared" si="2"/>
        <v>5</v>
      </c>
      <c r="C17" s="6" t="s">
        <v>2833</v>
      </c>
      <c r="D17" s="6" t="s">
        <v>1291</v>
      </c>
      <c r="E17" s="8"/>
      <c r="F17" s="7" t="s">
        <v>318</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milscm_2023_010.azn_202310_backup_text_mml_common.master_id IS '患者ID';</v>
      </c>
    </row>
    <row r="18" spans="1:52" s="25" customFormat="1">
      <c r="A18" s="4"/>
      <c r="B18" s="21">
        <f t="shared" si="2"/>
        <v>6</v>
      </c>
      <c r="C18" s="6" t="s">
        <v>3308</v>
      </c>
      <c r="D18" s="6" t="s">
        <v>1293</v>
      </c>
      <c r="E18" s="8"/>
      <c r="F18" s="7" t="s">
        <v>318</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milscm_2023_010.azn_202310_backup_text_mml_common.uid IS 'UID';</v>
      </c>
    </row>
    <row r="19" spans="1:52" s="25" customFormat="1">
      <c r="A19" s="4"/>
      <c r="B19" s="21">
        <f t="shared" si="2"/>
        <v>7</v>
      </c>
      <c r="C19" s="6" t="s">
        <v>3309</v>
      </c>
      <c r="D19" s="6" t="s">
        <v>3310</v>
      </c>
      <c r="E19" s="8"/>
      <c r="F19" s="7" t="s">
        <v>318</v>
      </c>
      <c r="G19" s="7" t="str">
        <f t="shared" si="3"/>
        <v>text</v>
      </c>
      <c r="H19" s="26"/>
      <c r="I19" s="10" t="s">
        <v>127</v>
      </c>
      <c r="J19" s="11" t="s">
        <v>2839</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milscm_2023_010.azn_202310_backup_text_mml_common.comfirm_date IS '記載確定日';</v>
      </c>
    </row>
    <row r="20" spans="1:52" s="25" customFormat="1">
      <c r="A20" s="4"/>
      <c r="B20" s="21">
        <f t="shared" si="2"/>
        <v>8</v>
      </c>
      <c r="C20" s="6" t="s">
        <v>3311</v>
      </c>
      <c r="D20" s="6" t="s">
        <v>3312</v>
      </c>
      <c r="E20" s="8"/>
      <c r="F20" s="7" t="s">
        <v>318</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milscm_2023_010.azn_202310_backup_text_mml_common.mml_type IS 'MMLモジュール種別';</v>
      </c>
    </row>
    <row r="21" spans="1:52" s="25" customFormat="1">
      <c r="A21" s="4"/>
      <c r="B21" s="21">
        <f t="shared" si="2"/>
        <v>9</v>
      </c>
      <c r="C21" s="6" t="s">
        <v>3313</v>
      </c>
      <c r="D21" s="6" t="s">
        <v>3314</v>
      </c>
      <c r="E21" s="8"/>
      <c r="F21" s="7" t="s">
        <v>318</v>
      </c>
      <c r="G21" s="7" t="str">
        <f t="shared" si="3"/>
        <v>text</v>
      </c>
      <c r="H21" s="26"/>
      <c r="I21" s="10" t="s">
        <v>127</v>
      </c>
      <c r="J21" s="11" t="s">
        <v>3319</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milscm_2023_010.azn_202310_backup_text_mml_common.file_name IS 'ファイル名';</v>
      </c>
    </row>
    <row r="22" spans="1:52" s="25" customFormat="1">
      <c r="A22" s="4"/>
      <c r="B22" s="21">
        <f t="shared" si="2"/>
        <v>10</v>
      </c>
      <c r="C22" s="6" t="s">
        <v>3315</v>
      </c>
      <c r="D22" s="6" t="s">
        <v>2553</v>
      </c>
      <c r="E22" s="8"/>
      <c r="F22" s="7" t="s">
        <v>2463</v>
      </c>
      <c r="G22" s="7" t="str">
        <f t="shared" si="3"/>
        <v>boolean</v>
      </c>
      <c r="H22" s="26" t="b">
        <v>1</v>
      </c>
      <c r="I22" s="10" t="s">
        <v>127</v>
      </c>
      <c r="J22" s="11" t="s">
        <v>3320</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milscm_2023_010.azn_202310_backup_text_mml_common.new_f IS '最新フラグ';</v>
      </c>
    </row>
    <row r="23" spans="1:52" s="25" customFormat="1" ht="19.5" thickBot="1">
      <c r="A23" s="4"/>
      <c r="B23" s="27">
        <f>ROW()-12</f>
        <v>11</v>
      </c>
      <c r="C23" s="57" t="s">
        <v>3316</v>
      </c>
      <c r="D23" s="57" t="s">
        <v>1949</v>
      </c>
      <c r="E23" s="56"/>
      <c r="F23" s="56" t="s">
        <v>2463</v>
      </c>
      <c r="G23" s="56" t="str">
        <f t="shared" si="3"/>
        <v>boolean</v>
      </c>
      <c r="H23" s="59" t="b">
        <v>0</v>
      </c>
      <c r="I23" s="60" t="s">
        <v>127</v>
      </c>
      <c r="J23" s="64" t="s">
        <v>3321</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500-000000000000}"/>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ENT_01_A6-03</v>
      </c>
      <c r="E6" s="239"/>
      <c r="F6" s="239"/>
      <c r="G6" s="239"/>
      <c r="H6" s="239"/>
      <c r="I6" s="239"/>
      <c r="J6" s="240"/>
    </row>
    <row r="7" spans="1:45">
      <c r="B7" s="228" t="s">
        <v>115</v>
      </c>
      <c r="C7" s="229"/>
      <c r="D7" s="230" t="s">
        <v>2824</v>
      </c>
      <c r="E7" s="231"/>
      <c r="F7" s="231"/>
      <c r="G7" s="231"/>
      <c r="H7" s="231"/>
      <c r="I7" s="231"/>
      <c r="J7" s="232"/>
    </row>
    <row r="8" spans="1:45">
      <c r="B8" s="228" t="s">
        <v>116</v>
      </c>
      <c r="C8" s="229"/>
      <c r="D8" s="230" t="str">
        <f>エンティティ一覧!AE2&amp;"_"&amp;D5&amp;"_text_mml_mmlrd_body"</f>
        <v>azn_202310_backup_text_mml_mmlrd_body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milscm_2023_010.azn_202310_backup_text_mml_mmlrd_body;</v>
      </c>
      <c r="O10" s="78"/>
      <c r="P10" s="78"/>
      <c r="Q10" s="78"/>
      <c r="R10" s="78"/>
      <c r="S10" s="78"/>
      <c r="T10" s="78"/>
      <c r="AJ10" s="78" t="str">
        <f>"ALTER TABLE ONLY "&amp;エンティティ一覧!$O$2&amp;"."&amp;D$8</f>
        <v>ALTER TABLE ONLY milscm_2023_010.azn_202310_backup_text_mml_mmlrd_body</v>
      </c>
      <c r="AS10" s="78" t="str">
        <f>"ALTER TABLE "&amp;エンティティ一覧!$O$2&amp;"."&amp;D$8&amp;" OWNER TO pgmisgrp1;"</f>
        <v>ALTER TABLE milscm_2023_010.azn_202310_backup_text_mml_mmlrd_body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milscm_2023_010.azn_202310_backup_text_mml_mmlrd_body</v>
      </c>
      <c r="O11" s="78"/>
      <c r="P11" s="78"/>
      <c r="Q11" s="78"/>
      <c r="R11" s="78"/>
      <c r="S11" s="78"/>
      <c r="T11" s="78"/>
      <c r="AJ11" s="78" t="str">
        <f>"ADD CONSTRAINT "&amp;D$8&amp;"_pkey PRIMARY KEY"</f>
        <v>ADD CONSTRAINT azn_202310_backup_text_mml_mmlrd_body_pkey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milscm_2023_010.azn_202310_backup_text_mml_mmlrd_body IS 'バックアップ_MML_診断履歴情報モジュール_本文';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milscm_2023_010.azn_202310_backup_text_mml_mmlrd_body.zip_no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milscm_2023_010.azn_202310_backup_text_mml_mmlrd_body.master_id IS '患者ID';</v>
      </c>
    </row>
    <row r="18" spans="1:52" s="25" customFormat="1">
      <c r="A18" s="4"/>
      <c r="B18" s="21">
        <f t="shared" si="2"/>
        <v>6</v>
      </c>
      <c r="C18" s="6" t="s">
        <v>1348</v>
      </c>
      <c r="D18" s="6" t="s">
        <v>2834</v>
      </c>
      <c r="E18" s="8"/>
      <c r="F18" s="7" t="s">
        <v>1866</v>
      </c>
      <c r="G18" s="7" t="str">
        <f t="shared" si="3"/>
        <v>text</v>
      </c>
      <c r="H18" s="26"/>
      <c r="I18" s="10"/>
      <c r="J18" s="11" t="s">
        <v>2839</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milscm_2023_010.azn_202310_backup_text_mml_mmlrd_body.start_date IS '疾患開始日';</v>
      </c>
    </row>
    <row r="19" spans="1:52" s="25" customFormat="1">
      <c r="A19" s="4"/>
      <c r="B19" s="21">
        <f t="shared" si="2"/>
        <v>7</v>
      </c>
      <c r="C19" s="6" t="s">
        <v>1350</v>
      </c>
      <c r="D19" s="6" t="s">
        <v>2835</v>
      </c>
      <c r="E19" s="8"/>
      <c r="F19" s="7" t="s">
        <v>1866</v>
      </c>
      <c r="G19" s="7" t="str">
        <f t="shared" si="3"/>
        <v>text</v>
      </c>
      <c r="H19" s="26"/>
      <c r="I19" s="10"/>
      <c r="J19" s="11" t="s">
        <v>2839</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milscm_2023_010.azn_202310_backup_text_mml_mmlrd_body.end_date IS '疾患終了日';</v>
      </c>
    </row>
    <row r="20" spans="1:52" s="25" customFormat="1">
      <c r="A20" s="4"/>
      <c r="B20" s="21">
        <f t="shared" si="2"/>
        <v>8</v>
      </c>
      <c r="C20" s="6" t="s">
        <v>1352</v>
      </c>
      <c r="D20" s="6" t="s">
        <v>2836</v>
      </c>
      <c r="E20" s="8"/>
      <c r="F20" s="7" t="s">
        <v>1866</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milscm_2023_010.azn_202310_backup_text_mml_mmlrd_body.outcome IS '転帰';</v>
      </c>
    </row>
    <row r="21" spans="1:52" s="25" customFormat="1" ht="19.5" thickBot="1">
      <c r="A21" s="4"/>
      <c r="B21" s="27">
        <f>ROW()-12</f>
        <v>9</v>
      </c>
      <c r="C21" s="57" t="s">
        <v>1354</v>
      </c>
      <c r="D21" s="57" t="s">
        <v>2837</v>
      </c>
      <c r="E21" s="56"/>
      <c r="F21" s="56" t="s">
        <v>1866</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600-000000000000}"/>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ENT_01_A6-04</v>
      </c>
      <c r="E6" s="239"/>
      <c r="F6" s="239"/>
      <c r="G6" s="239"/>
      <c r="H6" s="239"/>
      <c r="I6" s="239"/>
      <c r="J6" s="240"/>
    </row>
    <row r="7" spans="1:45">
      <c r="B7" s="228" t="s">
        <v>115</v>
      </c>
      <c r="C7" s="229"/>
      <c r="D7" s="230" t="s">
        <v>2840</v>
      </c>
      <c r="E7" s="231"/>
      <c r="F7" s="231"/>
      <c r="G7" s="231"/>
      <c r="H7" s="231"/>
      <c r="I7" s="231"/>
      <c r="J7" s="232"/>
    </row>
    <row r="8" spans="1:45">
      <c r="B8" s="228" t="s">
        <v>116</v>
      </c>
      <c r="C8" s="229"/>
      <c r="D8" s="230" t="str">
        <f>エンティティ一覧!AE2&amp;"_"&amp;D5&amp;"_text_mml_mmlrd_byomei"</f>
        <v>azn_202310_backup_text_mml_mmlrd_byomei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milscm_2023_010.azn_202310_backup_text_mml_mmlrd_byomei;</v>
      </c>
      <c r="O10" s="78"/>
      <c r="P10" s="78"/>
      <c r="Q10" s="78"/>
      <c r="R10" s="78"/>
      <c r="S10" s="78"/>
      <c r="T10" s="78"/>
      <c r="AJ10" s="78" t="str">
        <f>"ALTER TABLE ONLY "&amp;エンティティ一覧!$O$2&amp;"."&amp;D$8</f>
        <v>ALTER TABLE ONLY milscm_2023_010.azn_202310_backup_text_mml_mmlrd_byomei</v>
      </c>
      <c r="AS10" s="78" t="str">
        <f>"ALTER TABLE "&amp;エンティティ一覧!$O$2&amp;"."&amp;D$8&amp;" OWNER TO pgmisgrp1;"</f>
        <v>ALTER TABLE milscm_2023_010.azn_202310_backup_text_mml_mmlrd_byomei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milscm_2023_010.azn_202310_backup_text_mml_mmlrd_byomei</v>
      </c>
      <c r="O11" s="78"/>
      <c r="P11" s="78"/>
      <c r="Q11" s="78"/>
      <c r="R11" s="78"/>
      <c r="S11" s="78"/>
      <c r="T11" s="78"/>
      <c r="AJ11" s="78" t="str">
        <f>"ADD CONSTRAINT "&amp;D$8&amp;"_pkey PRIMARY KEY"</f>
        <v>ADD CONSTRAINT azn_202310_backup_text_mml_mmlrd_byomei_pkey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milscm_2023_010.azn_202310_backup_text_mml_mmlrd_byomei IS 'バックアップ_MML_診断履歴情報モジュール_病名';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milscm_2023_010.azn_202310_backup_text_mml_mmlrd_byomei.zip_no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milscm_2023_010.azn_202310_backup_text_mml_mmlrd_byomei.master_id IS '患者ID';</v>
      </c>
    </row>
    <row r="18" spans="1:52" s="25" customFormat="1">
      <c r="A18" s="4"/>
      <c r="B18" s="21">
        <f t="shared" si="2"/>
        <v>6</v>
      </c>
      <c r="C18" s="6" t="s">
        <v>2841</v>
      </c>
      <c r="D18" s="6" t="s">
        <v>2842</v>
      </c>
      <c r="E18" s="8" t="s">
        <v>127</v>
      </c>
      <c r="F18" s="7" t="s">
        <v>2827</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milscm_2023_010.azn_202310_backup_text_mml_mmlrd_byomei.byomei_no IS '病名No';</v>
      </c>
    </row>
    <row r="19" spans="1:52" s="25" customFormat="1">
      <c r="A19" s="4"/>
      <c r="B19" s="21">
        <f t="shared" si="2"/>
        <v>7</v>
      </c>
      <c r="C19" s="6" t="s">
        <v>2843</v>
      </c>
      <c r="D19" s="6" t="s">
        <v>2844</v>
      </c>
      <c r="E19" s="8"/>
      <c r="F19" s="7" t="s">
        <v>1866</v>
      </c>
      <c r="G19" s="7" t="str">
        <f t="shared" si="3"/>
        <v>text</v>
      </c>
      <c r="H19" s="26"/>
      <c r="I19" s="10"/>
      <c r="J19" s="11" t="s">
        <v>2849</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milscm_2023_010.azn_202310_backup_text_mml_mmlrd_byomei.tag_name IS 'タグ名';</v>
      </c>
    </row>
    <row r="20" spans="1:52" s="25" customFormat="1" ht="37.5">
      <c r="A20" s="4"/>
      <c r="B20" s="21">
        <f t="shared" si="2"/>
        <v>8</v>
      </c>
      <c r="C20" s="6" t="s">
        <v>1366</v>
      </c>
      <c r="D20" s="6" t="s">
        <v>2845</v>
      </c>
      <c r="E20" s="8"/>
      <c r="F20" s="7" t="s">
        <v>1866</v>
      </c>
      <c r="G20" s="7" t="str">
        <f t="shared" ref="G20" si="7">IF(F20="フラグ","boolean",IF(F20="文字列","text",IF(F20="整数","integer",IF(F20="実数","numeric",""))))</f>
        <v>text</v>
      </c>
      <c r="H20" s="26"/>
      <c r="I20" s="10"/>
      <c r="J20" s="11" t="s">
        <v>2850</v>
      </c>
      <c r="M20" s="4"/>
      <c r="N20" s="78"/>
      <c r="O20" s="78"/>
      <c r="P20" s="78" t="str">
        <f t="shared" ref="P20" si="8">IF(B20&lt;&gt;1,","&amp;D20,D20)</f>
        <v>,diagnosis</v>
      </c>
      <c r="Q20" s="78" t="str">
        <f t="shared" ref="Q20" si="9">UPPER(G20)</f>
        <v>TEXT</v>
      </c>
      <c r="R20" s="78" t="str">
        <f t="shared" ref="R20" si="10">IF(H20&lt;&gt;"","default "&amp;IF(G20="text","'"&amp;H20&amp;"'",H20),"")</f>
        <v/>
      </c>
      <c r="S20" s="78" t="str">
        <f t="shared" ref="S20" si="11">IF(I20="○","NOT NULL","")</f>
        <v/>
      </c>
      <c r="T20" s="78" t="str">
        <f t="shared" ref="T20" si="12">"-- "&amp;C20</f>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milscm_2023_010.azn_202310_backup_text_mml_mmlrd_byomei.diagnosis IS '病名';</v>
      </c>
    </row>
    <row r="21" spans="1:52" s="25" customFormat="1">
      <c r="A21" s="4"/>
      <c r="B21" s="21">
        <f t="shared" si="2"/>
        <v>9</v>
      </c>
      <c r="C21" s="6" t="s">
        <v>2846</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milscm_2023_010.azn_202310_backup_text_mml_mmlrd_byomei.code IS 'コード値';</v>
      </c>
    </row>
    <row r="22" spans="1:52" s="25" customFormat="1" ht="19.5" thickBot="1">
      <c r="A22" s="4"/>
      <c r="B22" s="27">
        <f>ROW()-12</f>
        <v>10</v>
      </c>
      <c r="C22" s="57" t="s">
        <v>2847</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700-000000000000}"/>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ENT_01_A6-05</v>
      </c>
      <c r="E6" s="239"/>
      <c r="F6" s="239"/>
      <c r="G6" s="239"/>
      <c r="H6" s="239"/>
      <c r="I6" s="239"/>
      <c r="J6" s="240"/>
    </row>
    <row r="7" spans="1:45">
      <c r="B7" s="228" t="s">
        <v>115</v>
      </c>
      <c r="C7" s="229"/>
      <c r="D7" s="230" t="s">
        <v>2851</v>
      </c>
      <c r="E7" s="231"/>
      <c r="F7" s="231"/>
      <c r="G7" s="231"/>
      <c r="H7" s="231"/>
      <c r="I7" s="231"/>
      <c r="J7" s="232"/>
    </row>
    <row r="8" spans="1:45">
      <c r="B8" s="228" t="s">
        <v>116</v>
      </c>
      <c r="C8" s="229"/>
      <c r="D8" s="230" t="str">
        <f>エンティティ一覧!AE2&amp;"_"&amp;D5&amp;"_text_mml_mmlrd_category"</f>
        <v>azn_202310_backup_text_mml_mmlrd_category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milscm_2023_010.azn_202310_backup_text_mml_mmlrd_category;</v>
      </c>
      <c r="O10" s="78"/>
      <c r="P10" s="78"/>
      <c r="Q10" s="78"/>
      <c r="R10" s="78"/>
      <c r="S10" s="78"/>
      <c r="T10" s="78"/>
      <c r="AJ10" s="78" t="str">
        <f>"ALTER TABLE ONLY "&amp;エンティティ一覧!$O$2&amp;"."&amp;D$8</f>
        <v>ALTER TABLE ONLY milscm_2023_010.azn_202310_backup_text_mml_mmlrd_category</v>
      </c>
      <c r="AS10" s="78" t="str">
        <f>"ALTER TABLE "&amp;エンティティ一覧!$O$2&amp;"."&amp;D$8&amp;" OWNER TO pgmisgrp1;"</f>
        <v>ALTER TABLE milscm_2023_010.azn_202310_backup_text_mml_mmlrd_category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milscm_2023_010.azn_202310_backup_text_mml_mmlrd_category</v>
      </c>
      <c r="O11" s="78"/>
      <c r="P11" s="78"/>
      <c r="Q11" s="78"/>
      <c r="R11" s="78"/>
      <c r="S11" s="78"/>
      <c r="T11" s="78"/>
      <c r="AJ11" s="78" t="str">
        <f>"ADD CONSTRAINT "&amp;D$8&amp;"_pkey PRIMARY KEY"</f>
        <v>ADD CONSTRAINT azn_202310_backup_text_mml_mmlrd_category_pkey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milscm_2023_010.azn_202310_backup_text_mml_mmlrd_category IS 'バックアップ_MML_診断履歴情報モジュール_カテゴリ名';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milscm_2023_010.azn_202310_backup_text_mml_mmlrd_category.zip_no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milscm_2023_010.azn_202310_backup_text_mml_mmlrd_category.file_no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milscm_2023_010.azn_202310_backup_text_mml_mmlrd_category.body_no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milscm_2023_010.azn_202310_backup_text_mml_mmlrd_category.facility_id_mml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milscm_2023_010.azn_202310_backup_text_mml_mmlrd_category.master_id IS '患者ID';</v>
      </c>
    </row>
    <row r="18" spans="1:52" s="25" customFormat="1">
      <c r="A18" s="4"/>
      <c r="B18" s="21">
        <f t="shared" si="2"/>
        <v>6</v>
      </c>
      <c r="C18" s="6" t="s">
        <v>2852</v>
      </c>
      <c r="D18" s="6" t="s">
        <v>2853</v>
      </c>
      <c r="E18" s="8" t="s">
        <v>127</v>
      </c>
      <c r="F18" s="7" t="s">
        <v>2827</v>
      </c>
      <c r="G18" s="7" t="str">
        <f t="shared" si="3"/>
        <v>integer</v>
      </c>
      <c r="H18" s="26"/>
      <c r="I18" s="10" t="s">
        <v>127</v>
      </c>
      <c r="J18" s="11"/>
      <c r="M18" s="4"/>
      <c r="N18" s="78"/>
      <c r="O18" s="78"/>
      <c r="P18" s="78" t="str">
        <f t="shared" si="4"/>
        <v>,category_no</v>
      </c>
      <c r="Q18" s="78" t="str">
        <f t="shared" si="0"/>
        <v>INTEGER</v>
      </c>
      <c r="R18" s="78" t="str">
        <f t="shared" si="1"/>
        <v/>
      </c>
      <c r="S18" s="78" t="str">
        <f t="shared" si="5"/>
        <v>NOT NULL</v>
      </c>
      <c r="T18" s="78" t="str">
        <f t="shared" si="6"/>
        <v>-- カテゴリ名No</v>
      </c>
      <c r="U18" s="4"/>
      <c r="AA18" s="4"/>
      <c r="AB18" s="4"/>
      <c r="AC18" s="4"/>
      <c r="AD18" s="4"/>
      <c r="AE18" s="4"/>
      <c r="AF18" s="4"/>
      <c r="AG18" s="4"/>
      <c r="AH18" s="4"/>
      <c r="AI18" s="4"/>
      <c r="AJ18" s="78" t="str">
        <f>IF(E18="○",IF(COUNTA(E$13:E18)=1,"",",")&amp;D18,"")</f>
        <v>,category_no</v>
      </c>
      <c r="AK18" s="4"/>
      <c r="AL18" s="4"/>
      <c r="AM18" s="4"/>
      <c r="AN18" s="4"/>
      <c r="AO18" s="4"/>
      <c r="AP18" s="4"/>
      <c r="AQ18" s="4"/>
      <c r="AR18" s="4"/>
      <c r="AS18" s="78" t="str">
        <f>"COMMENT ON COLUMN "&amp;エンティティ一覧!$O$2&amp;"."&amp;D$8&amp;"."&amp;D18&amp;" IS '"&amp;C18&amp;"';"</f>
        <v>COMMENT ON COLUMN milscm_2023_010.azn_202310_backup_text_mml_mmlrd_category.category_no IS 'カテゴリ名No';</v>
      </c>
    </row>
    <row r="19" spans="1:52" s="25" customFormat="1">
      <c r="A19" s="4"/>
      <c r="B19" s="21">
        <f t="shared" si="2"/>
        <v>7</v>
      </c>
      <c r="C19" s="6" t="s">
        <v>1380</v>
      </c>
      <c r="D19" s="6" t="s">
        <v>2854</v>
      </c>
      <c r="E19" s="8"/>
      <c r="F19" s="7" t="s">
        <v>1866</v>
      </c>
      <c r="G19" s="7" t="str">
        <f t="shared" si="3"/>
        <v>text</v>
      </c>
      <c r="H19" s="26"/>
      <c r="I19" s="10"/>
      <c r="J19" s="11"/>
      <c r="M19" s="4"/>
      <c r="N19" s="78"/>
      <c r="O19" s="78"/>
      <c r="P19" s="78" t="str">
        <f t="shared" si="4"/>
        <v>,category</v>
      </c>
      <c r="Q19" s="78" t="str">
        <f t="shared" si="0"/>
        <v>TEXT</v>
      </c>
      <c r="R19" s="78" t="str">
        <f t="shared" si="1"/>
        <v/>
      </c>
      <c r="S19" s="78" t="str">
        <f t="shared" si="5"/>
        <v/>
      </c>
      <c r="T19" s="78" t="str">
        <f t="shared" si="6"/>
        <v>-- 分類名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milscm_2023_010.azn_202310_backup_text_mml_mmlrd_category.category IS '分類名';</v>
      </c>
    </row>
    <row r="20" spans="1:52" s="25" customFormat="1" ht="19.5" thickBot="1">
      <c r="A20" s="4"/>
      <c r="B20" s="27">
        <f>ROW()-12</f>
        <v>8</v>
      </c>
      <c r="C20" s="57" t="s">
        <v>1382</v>
      </c>
      <c r="D20" s="57" t="s">
        <v>2855</v>
      </c>
      <c r="E20" s="56"/>
      <c r="F20" s="56" t="s">
        <v>1866</v>
      </c>
      <c r="G20" s="56" t="str">
        <f t="shared" si="3"/>
        <v>text</v>
      </c>
      <c r="H20" s="59"/>
      <c r="I20" s="60"/>
      <c r="J20" s="64"/>
      <c r="N20" s="78"/>
      <c r="O20" s="78"/>
      <c r="P20" s="78" t="str">
        <f t="shared" si="4"/>
        <v>,table_id</v>
      </c>
      <c r="Q20" s="78" t="str">
        <f t="shared" si="0"/>
        <v>TEXT</v>
      </c>
      <c r="R20" s="78" t="str">
        <f t="shared" si="1"/>
        <v/>
      </c>
      <c r="S20" s="78" t="str">
        <f t="shared" si="5"/>
        <v/>
      </c>
      <c r="T20" s="78" t="str">
        <f t="shared" si="6"/>
        <v>-- 分類コード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milscm_2023_010.azn_202310_backup_text_mml_mmlrd_category.table_id IS '分類コード';</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800-000000000000}"/>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ENT_01_A6-24</v>
      </c>
      <c r="E6" s="239"/>
      <c r="F6" s="239"/>
      <c r="G6" s="239"/>
      <c r="H6" s="239"/>
      <c r="I6" s="239"/>
      <c r="J6" s="240"/>
    </row>
    <row r="7" spans="1:45">
      <c r="B7" s="228" t="s">
        <v>115</v>
      </c>
      <c r="C7" s="229"/>
      <c r="D7" s="230" t="s">
        <v>2856</v>
      </c>
      <c r="E7" s="231"/>
      <c r="F7" s="231"/>
      <c r="G7" s="231"/>
      <c r="H7" s="231"/>
      <c r="I7" s="231"/>
      <c r="J7" s="232"/>
    </row>
    <row r="8" spans="1:45">
      <c r="B8" s="228" t="s">
        <v>116</v>
      </c>
      <c r="C8" s="229"/>
      <c r="D8" s="230" t="str">
        <f>エンティティ一覧!AE2&amp;"_"&amp;D5&amp;"_text_mml_mmlps_body"</f>
        <v>azn_202310_backup_text_mml_mmlps_body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milscm_2023_010.azn_202310_backup_text_mml_mmlps_body;</v>
      </c>
      <c r="O10" s="78"/>
      <c r="P10" s="78"/>
      <c r="Q10" s="78"/>
      <c r="R10" s="78"/>
      <c r="S10" s="78"/>
      <c r="T10" s="78"/>
      <c r="AJ10" s="78" t="str">
        <f>"ALTER TABLE ONLY "&amp;エンティティ一覧!$O$2&amp;"."&amp;D$8</f>
        <v>ALTER TABLE ONLY milscm_2023_010.azn_202310_backup_text_mml_mmlps_body</v>
      </c>
      <c r="AS10" s="78" t="str">
        <f>"ALTER TABLE "&amp;エンティティ一覧!$O$2&amp;"."&amp;D$8&amp;" OWNER TO pgmisgrp1;"</f>
        <v>ALTER TABLE milscm_2023_010.azn_202310_backup_text_mml_mmlps_body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milscm_2023_010.azn_202310_backup_text_mml_mmlps_body</v>
      </c>
      <c r="O11" s="78"/>
      <c r="P11" s="78"/>
      <c r="Q11" s="78"/>
      <c r="R11" s="78"/>
      <c r="S11" s="78"/>
      <c r="T11" s="78"/>
      <c r="AJ11" s="78" t="str">
        <f>"ADD CONSTRAINT "&amp;D$8&amp;"_pkey PRIMARY KEY"</f>
        <v>ADD CONSTRAINT azn_202310_backup_text_mml_mmlps_body_pkey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milscm_2023_010.azn_202310_backup_text_mml_mmlps_body IS 'バックアップ_MML_処方箋モジュール_本文';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milscm_2023_010.azn_202310_backup_text_mml_mmlps_body.zip_no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milscm_2023_010.azn_202310_backup_text_mml_mmlps_body.master_id IS '患者ID';</v>
      </c>
    </row>
    <row r="18" spans="1:52" s="25" customFormat="1" ht="37.5">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milscm_2023_010.azn_202310_backup_text_mml_mmlps_body.issued_to IS '院外、院内処方箋の別';</v>
      </c>
    </row>
    <row r="19" spans="1:52" s="25" customFormat="1" ht="31.5">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milscm_2023_010.azn_202310_backup_text_mml_mmlps_body.narcotic_prescription_license_no IS '麻薬施用者番号';</v>
      </c>
    </row>
    <row r="20" spans="1:52" s="25" customFormat="1" ht="19.5"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900-000000000000}"/>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ENT_01_A6-25</v>
      </c>
      <c r="E6" s="239"/>
      <c r="F6" s="239"/>
      <c r="G6" s="239"/>
      <c r="H6" s="239"/>
      <c r="I6" s="239"/>
      <c r="J6" s="240"/>
    </row>
    <row r="7" spans="1:45">
      <c r="B7" s="228" t="s">
        <v>115</v>
      </c>
      <c r="C7" s="229"/>
      <c r="D7" s="230" t="s">
        <v>2864</v>
      </c>
      <c r="E7" s="231"/>
      <c r="F7" s="231"/>
      <c r="G7" s="231"/>
      <c r="H7" s="231"/>
      <c r="I7" s="231"/>
      <c r="J7" s="232"/>
    </row>
    <row r="8" spans="1:45">
      <c r="B8" s="228" t="s">
        <v>116</v>
      </c>
      <c r="C8" s="229"/>
      <c r="D8" s="230" t="str">
        <f>エンティティ一覧!AE2&amp;"_"&amp;D5&amp;"_text_mml_mmlps_medication"</f>
        <v>azn_202310_backup_text_mml_mmlps_medication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milscm_2023_010.azn_202310_backup_text_mml_mmlps_medication;</v>
      </c>
      <c r="O10" s="78"/>
      <c r="P10" s="78"/>
      <c r="Q10" s="78"/>
      <c r="R10" s="78"/>
      <c r="S10" s="78"/>
      <c r="T10" s="78"/>
      <c r="AJ10" s="78" t="str">
        <f>"ALTER TABLE ONLY "&amp;エンティティ一覧!$O$2&amp;"."&amp;D$8</f>
        <v>ALTER TABLE ONLY milscm_2023_010.azn_202310_backup_text_mml_mmlps_medication</v>
      </c>
      <c r="AS10" s="78" t="str">
        <f>"ALTER TABLE "&amp;エンティティ一覧!$O$2&amp;"."&amp;D$8&amp;" OWNER TO pgmisgrp1;"</f>
        <v>ALTER TABLE milscm_2023_010.azn_202310_backup_text_mml_mmlps_medication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milscm_2023_010.azn_202310_backup_text_mml_mmlps_medication</v>
      </c>
      <c r="O11" s="78"/>
      <c r="P11" s="78"/>
      <c r="Q11" s="78"/>
      <c r="R11" s="78"/>
      <c r="S11" s="78"/>
      <c r="T11" s="78"/>
      <c r="AJ11" s="78" t="str">
        <f>"ADD CONSTRAINT "&amp;D$8&amp;"_pkey PRIMARY KEY"</f>
        <v>ADD CONSTRAINT azn_202310_backup_text_mml_mmlps_medication_pkey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milscm_2023_010.azn_202310_backup_text_mml_mmlps_medication IS 'バックアップ_MML_処方箋モジュール_投薬';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milscm_2023_010.azn_202310_backup_text_mml_mmlps_medication.medication_no IS '投薬No';</v>
      </c>
    </row>
    <row r="19" spans="1:45" s="25" customFormat="1">
      <c r="A19" s="4"/>
      <c r="B19" s="21">
        <f t="shared" si="2"/>
        <v>7</v>
      </c>
      <c r="C19" s="6" t="s">
        <v>2867</v>
      </c>
      <c r="D19" s="6" t="s">
        <v>2868</v>
      </c>
      <c r="E19" s="8"/>
      <c r="F19" s="7" t="s">
        <v>1866</v>
      </c>
      <c r="G19" s="7" t="str">
        <f t="shared" ref="G19:G32" si="7">IF(F19="フラグ","boolean",IF(F19="文字列","text",IF(F19="整数","integer",IF(F19="実数","numeric",""))))</f>
        <v>text</v>
      </c>
      <c r="H19" s="26"/>
      <c r="I19" s="10"/>
      <c r="J19" s="11"/>
      <c r="M19" s="4"/>
      <c r="N19" s="78"/>
      <c r="O19" s="78"/>
      <c r="P19" s="78" t="str">
        <f t="shared" ref="P19:P32" si="8">IF(B19&lt;&gt;1,","&amp;D19,D19)</f>
        <v>,medicine_name</v>
      </c>
      <c r="Q19" s="78" t="str">
        <f t="shared" ref="Q19:Q32" si="9">UPPER(G19)</f>
        <v>TEXT</v>
      </c>
      <c r="R19" s="78" t="str">
        <f t="shared" ref="R19:R32" si="10">IF(H19&lt;&gt;"","default "&amp;IF(G19="text","'"&amp;H19&amp;"'",H19),"")</f>
        <v/>
      </c>
      <c r="S19" s="78" t="str">
        <f t="shared" ref="S19:S32" si="11">IF(I19="○","NOT NULL","")</f>
        <v/>
      </c>
      <c r="T19" s="78" t="str">
        <f t="shared" ref="T19:T32"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milscm_2023_010.azn_202310_backup_text_mml_mmlps_medication.medicine_name IS '薬剤名称';</v>
      </c>
    </row>
    <row r="20" spans="1:45"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milscm_2023_010.azn_202310_backup_text_mml_mmlps_medication.dose IS '用量';</v>
      </c>
    </row>
    <row r="21" spans="1:45"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milscm_2023_010.azn_202310_backup_text_mml_mmlps_medication.dose_unit IS '用量の単位';</v>
      </c>
    </row>
    <row r="22" spans="1:45" s="25" customFormat="1">
      <c r="A22" s="4"/>
      <c r="B22" s="21">
        <f t="shared" si="2"/>
        <v>10</v>
      </c>
      <c r="C22" s="6" t="s">
        <v>2873</v>
      </c>
      <c r="D22" s="6" t="s">
        <v>2874</v>
      </c>
      <c r="E22" s="8"/>
      <c r="F22" s="7" t="s">
        <v>1866</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milscm_2023_010.azn_202310_backup_text_mml_mmlps_medication.frequency_per_day IS '一日の内服回数';</v>
      </c>
    </row>
    <row r="23" spans="1:45" s="25" customFormat="1">
      <c r="A23" s="4"/>
      <c r="B23" s="21">
        <f t="shared" si="2"/>
        <v>11</v>
      </c>
      <c r="C23" s="6" t="s">
        <v>2875</v>
      </c>
      <c r="D23" s="6" t="s">
        <v>2834</v>
      </c>
      <c r="E23" s="8"/>
      <c r="F23" s="7" t="s">
        <v>1866</v>
      </c>
      <c r="G23" s="7" t="str">
        <f t="shared" si="7"/>
        <v>text</v>
      </c>
      <c r="H23" s="26"/>
      <c r="I23" s="10"/>
      <c r="J23" s="11" t="s">
        <v>2896</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milscm_2023_010.azn_202310_backup_text_mml_mmlps_medication.start_date IS '服薬開始日';</v>
      </c>
    </row>
    <row r="24" spans="1:45" s="25" customFormat="1">
      <c r="A24" s="4"/>
      <c r="B24" s="21">
        <f t="shared" si="2"/>
        <v>12</v>
      </c>
      <c r="C24" s="6" t="s">
        <v>2876</v>
      </c>
      <c r="D24" s="6" t="s">
        <v>2877</v>
      </c>
      <c r="E24" s="8"/>
      <c r="F24" s="7" t="s">
        <v>1866</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milscm_2023_010.azn_202310_backup_text_mml_mmlps_medication.duration IS '服薬期間（日数）';</v>
      </c>
    </row>
    <row r="25" spans="1:45" s="25" customFormat="1">
      <c r="A25" s="4"/>
      <c r="B25" s="21">
        <f t="shared" si="2"/>
        <v>13</v>
      </c>
      <c r="C25" s="6" t="s">
        <v>2878</v>
      </c>
      <c r="D25" s="6" t="s">
        <v>2879</v>
      </c>
      <c r="E25" s="8"/>
      <c r="F25" s="7" t="s">
        <v>1866</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milscm_2023_010.azn_202310_backup_text_mml_mmlps_medication.instruction IS '用法指示';</v>
      </c>
    </row>
    <row r="26" spans="1:45" s="25" customFormat="1">
      <c r="A26" s="4"/>
      <c r="B26" s="21">
        <f t="shared" si="2"/>
        <v>14</v>
      </c>
      <c r="C26" s="6" t="s">
        <v>2880</v>
      </c>
      <c r="D26" s="6" t="s">
        <v>2881</v>
      </c>
      <c r="E26" s="8"/>
      <c r="F26" s="7" t="s">
        <v>1866</v>
      </c>
      <c r="G26" s="7" t="str">
        <f t="shared" si="7"/>
        <v>text</v>
      </c>
      <c r="H26" s="26"/>
      <c r="I26" s="10"/>
      <c r="J26" s="11" t="s">
        <v>2897</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milscm_2023_010.azn_202310_backup_text_mml_mmlps_medication.prn IS '頓用指示';</v>
      </c>
    </row>
    <row r="27" spans="1:45" s="25" customFormat="1">
      <c r="A27" s="4"/>
      <c r="B27" s="21">
        <f t="shared" si="2"/>
        <v>15</v>
      </c>
      <c r="C27" s="6" t="s">
        <v>2882</v>
      </c>
      <c r="D27" s="6" t="s">
        <v>2883</v>
      </c>
      <c r="E27" s="8"/>
      <c r="F27" s="7" t="s">
        <v>1866</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milscm_2023_010.azn_202310_backup_text_mml_mmlps_medication.repetitions IS '総投与回数';</v>
      </c>
    </row>
    <row r="28" spans="1:45" s="25" customFormat="1">
      <c r="A28" s="4"/>
      <c r="B28" s="21">
        <f t="shared" si="2"/>
        <v>16</v>
      </c>
      <c r="C28" s="6" t="s">
        <v>2884</v>
      </c>
      <c r="D28" s="6" t="s">
        <v>2885</v>
      </c>
      <c r="E28" s="8"/>
      <c r="F28" s="7" t="s">
        <v>1866</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milscm_2023_010.azn_202310_backup_text_mml_mmlps_medication.route IS '投与経路';</v>
      </c>
    </row>
    <row r="29" spans="1:45" s="25" customFormat="1">
      <c r="A29" s="4"/>
      <c r="B29" s="21">
        <f t="shared" si="2"/>
        <v>17</v>
      </c>
      <c r="C29" s="6" t="s">
        <v>2886</v>
      </c>
      <c r="D29" s="6" t="s">
        <v>2887</v>
      </c>
      <c r="E29" s="8"/>
      <c r="F29" s="7" t="s">
        <v>1866</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milscm_2023_010.azn_202310_backup_text_mml_mmlps_medication.form IS '剤形';</v>
      </c>
    </row>
    <row r="30" spans="1:45" s="25" customFormat="1">
      <c r="A30" s="4"/>
      <c r="B30" s="21">
        <f t="shared" si="2"/>
        <v>18</v>
      </c>
      <c r="C30" s="6" t="s">
        <v>2888</v>
      </c>
      <c r="D30" s="6" t="s">
        <v>2889</v>
      </c>
      <c r="E30" s="8"/>
      <c r="F30" s="7" t="s">
        <v>1866</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milscm_2023_010.azn_202310_backup_text_mml_mmlps_medication.batch_no IS '処方番号';</v>
      </c>
    </row>
    <row r="31" spans="1:45" s="25" customFormat="1" ht="37.5">
      <c r="A31" s="4"/>
      <c r="B31" s="21">
        <f t="shared" si="2"/>
        <v>19</v>
      </c>
      <c r="C31" s="6" t="s">
        <v>2890</v>
      </c>
      <c r="D31" s="6" t="s">
        <v>2891</v>
      </c>
      <c r="E31" s="8"/>
      <c r="F31" s="7" t="s">
        <v>1866</v>
      </c>
      <c r="G31" s="7" t="str">
        <f t="shared" si="7"/>
        <v>text</v>
      </c>
      <c r="H31" s="26"/>
      <c r="I31" s="10"/>
      <c r="J31" s="11" t="s">
        <v>2898</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milscm_2023_010.azn_202310_backup_text_mml_mmlps_medication.brand_substitution_permitted IS 'ジェネリック医薬品への代替可';</v>
      </c>
    </row>
    <row r="32" spans="1:45" s="25" customFormat="1">
      <c r="A32" s="4"/>
      <c r="B32" s="21">
        <f t="shared" si="2"/>
        <v>20</v>
      </c>
      <c r="C32" s="6" t="s">
        <v>2892</v>
      </c>
      <c r="D32" s="6" t="s">
        <v>2893</v>
      </c>
      <c r="E32" s="8"/>
      <c r="F32" s="7" t="s">
        <v>1866</v>
      </c>
      <c r="G32" s="7" t="str">
        <f t="shared" si="7"/>
        <v>text</v>
      </c>
      <c r="H32" s="26"/>
      <c r="I32" s="10"/>
      <c r="J32" s="11" t="s">
        <v>2899</v>
      </c>
      <c r="M32" s="4"/>
      <c r="N32" s="78"/>
      <c r="O32" s="78"/>
      <c r="P32" s="78" t="str">
        <f t="shared" si="8"/>
        <v>,long_term</v>
      </c>
      <c r="Q32" s="78" t="str">
        <f t="shared" si="9"/>
        <v>TEXT</v>
      </c>
      <c r="R32" s="78" t="str">
        <f t="shared" si="10"/>
        <v/>
      </c>
      <c r="S32" s="78" t="str">
        <f t="shared" si="11"/>
        <v/>
      </c>
      <c r="T32" s="78" t="str">
        <f t="shared" si="12"/>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milscm_2023_010.azn_202310_backup_text_mml_mmlps_medication.long_term IS '長期処方可';</v>
      </c>
    </row>
    <row r="33" spans="1:52" s="25" customFormat="1" ht="19.5"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A00-000000000000}"/>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ENT_01_A6-26</v>
      </c>
      <c r="E6" s="239"/>
      <c r="F6" s="239"/>
      <c r="G6" s="239"/>
      <c r="H6" s="239"/>
      <c r="I6" s="239"/>
      <c r="J6" s="240"/>
    </row>
    <row r="7" spans="1:45">
      <c r="B7" s="228" t="s">
        <v>115</v>
      </c>
      <c r="C7" s="229"/>
      <c r="D7" s="230" t="s">
        <v>2900</v>
      </c>
      <c r="E7" s="231"/>
      <c r="F7" s="231"/>
      <c r="G7" s="231"/>
      <c r="H7" s="231"/>
      <c r="I7" s="231"/>
      <c r="J7" s="232"/>
    </row>
    <row r="8" spans="1:45">
      <c r="B8" s="228" t="s">
        <v>116</v>
      </c>
      <c r="C8" s="229"/>
      <c r="D8" s="230" t="str">
        <f>エンティティ一覧!AE2&amp;"_"&amp;D5&amp;"_text_mml_mmlps_medicine"</f>
        <v>azn_202310_backup_text_mml_mmlps_medicine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milscm_2023_010.azn_202310_backup_text_mml_mmlps_medicine;</v>
      </c>
      <c r="O10" s="78"/>
      <c r="P10" s="78"/>
      <c r="Q10" s="78"/>
      <c r="R10" s="78"/>
      <c r="S10" s="78"/>
      <c r="T10" s="78"/>
      <c r="AJ10" s="78" t="str">
        <f>"ALTER TABLE ONLY "&amp;エンティティ一覧!$O$2&amp;"."&amp;D$8</f>
        <v>ALTER TABLE ONLY milscm_2023_010.azn_202310_backup_text_mml_mmlps_medicine</v>
      </c>
      <c r="AS10" s="78" t="str">
        <f>"ALTER TABLE "&amp;エンティティ一覧!$O$2&amp;"."&amp;D$8&amp;" OWNER TO pgmisgrp1;"</f>
        <v>ALTER TABLE milscm_2023_010.azn_202310_backup_text_mml_mmlps_medicine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milscm_2023_010.azn_202310_backup_text_mml_mmlps_medicine</v>
      </c>
      <c r="O11" s="78"/>
      <c r="P11" s="78"/>
      <c r="Q11" s="78"/>
      <c r="R11" s="78"/>
      <c r="S11" s="78"/>
      <c r="T11" s="78"/>
      <c r="AJ11" s="78" t="str">
        <f>"ADD CONSTRAINT "&amp;D$8&amp;"_pkey PRIMARY KEY"</f>
        <v>ADD CONSTRAINT azn_202310_backup_text_mml_mmlps_medicine_pkey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milscm_2023_010.azn_202310_backup_text_mml_mmlps_medicine IS 'バックアップ_MML_処方箋モジュール_薬剤';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milscm_2023_010.azn_202310_backup_text_mml_mmlps_medicine.medication_no IS '投薬No';</v>
      </c>
    </row>
    <row r="19" spans="1:52" s="25" customFormat="1">
      <c r="A19" s="4"/>
      <c r="B19" s="21">
        <f t="shared" si="2"/>
        <v>7</v>
      </c>
      <c r="C19" s="6" t="s">
        <v>2901</v>
      </c>
      <c r="D19" s="6" t="s">
        <v>2902</v>
      </c>
      <c r="E19" s="8" t="s">
        <v>127</v>
      </c>
      <c r="F19" s="7" t="s">
        <v>2827</v>
      </c>
      <c r="G19" s="7" t="str">
        <f t="shared" ref="G19" si="7">IF(F19="フラグ","boolean",IF(F19="文字列","text",IF(F19="整数","integer",IF(F19="実数","numeric",""))))</f>
        <v>integer</v>
      </c>
      <c r="H19" s="26"/>
      <c r="I19" s="10" t="s">
        <v>127</v>
      </c>
      <c r="J19" s="11"/>
      <c r="M19" s="4"/>
      <c r="N19" s="78"/>
      <c r="O19" s="78"/>
      <c r="P19" s="78" t="str">
        <f t="shared" ref="P19" si="8">IF(B19&lt;&gt;1,","&amp;D19,D19)</f>
        <v>,medicine_no</v>
      </c>
      <c r="Q19" s="78" t="str">
        <f t="shared" ref="Q19" si="9">UPPER(G19)</f>
        <v>INTEGER</v>
      </c>
      <c r="R19" s="78" t="str">
        <f t="shared" ref="R19" si="10">IF(H19&lt;&gt;"","default "&amp;IF(G19="text","'"&amp;H19&amp;"'",H19),"")</f>
        <v/>
      </c>
      <c r="S19" s="78" t="str">
        <f t="shared" ref="S19" si="11">IF(I19="○","NOT NULL","")</f>
        <v>NOT NULL</v>
      </c>
      <c r="T19" s="78" t="str">
        <f t="shared" ref="T19" si="12">"-- "&amp;C19</f>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milscm_2023_010.azn_202310_backup_text_mml_mmlps_medicine.code IS '薬剤コード';</v>
      </c>
    </row>
    <row r="21" spans="1:52" s="25" customFormat="1" ht="19.5"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B00-000000000000}"/>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ENT_01_A6-27</v>
      </c>
      <c r="E6" s="239"/>
      <c r="F6" s="239"/>
      <c r="G6" s="239"/>
      <c r="H6" s="239"/>
      <c r="I6" s="239"/>
      <c r="J6" s="240"/>
    </row>
    <row r="7" spans="1:45">
      <c r="B7" s="228" t="s">
        <v>115</v>
      </c>
      <c r="C7" s="229"/>
      <c r="D7" s="230" t="s">
        <v>2905</v>
      </c>
      <c r="E7" s="231"/>
      <c r="F7" s="231"/>
      <c r="G7" s="231"/>
      <c r="H7" s="231"/>
      <c r="I7" s="231"/>
      <c r="J7" s="232"/>
    </row>
    <row r="8" spans="1:45">
      <c r="B8" s="228" t="s">
        <v>116</v>
      </c>
      <c r="C8" s="229"/>
      <c r="D8" s="230" t="str">
        <f>エンティティ一覧!AE2&amp;"_"&amp;D5&amp;"_text_mml_mmlinj_body"</f>
        <v>azn_202310_backup_text_mml_mmlinj_body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milscm_2023_010.azn_202310_backup_text_mml_mmlinj_body;</v>
      </c>
      <c r="O10" s="78"/>
      <c r="P10" s="78"/>
      <c r="Q10" s="78"/>
      <c r="R10" s="78"/>
      <c r="S10" s="78"/>
      <c r="T10" s="78"/>
      <c r="AJ10" s="78" t="str">
        <f>"ALTER TABLE ONLY "&amp;エンティティ一覧!$O$2&amp;"."&amp;D$8</f>
        <v>ALTER TABLE ONLY milscm_2023_010.azn_202310_backup_text_mml_mmlinj_body</v>
      </c>
      <c r="AS10" s="78" t="str">
        <f>"ALTER TABLE "&amp;エンティティ一覧!$O$2&amp;"."&amp;D$8&amp;" OWNER TO pgmisgrp1;"</f>
        <v>ALTER TABLE milscm_2023_010.azn_202310_backup_text_mml_mmlinj_body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milscm_2023_010.azn_202310_backup_text_mml_mmlinj_body</v>
      </c>
      <c r="O11" s="78"/>
      <c r="P11" s="78"/>
      <c r="Q11" s="78"/>
      <c r="R11" s="78"/>
      <c r="S11" s="78"/>
      <c r="T11" s="78"/>
      <c r="AJ11" s="78" t="str">
        <f>"ADD CONSTRAINT "&amp;D$8&amp;"_pkey PRIMARY KEY"</f>
        <v>ADD CONSTRAINT azn_202310_backup_text_mml_mmlinj_body_pkey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milscm_2023_010.azn_202310_backup_text_mml_mmlinj_body IS 'バックアップ_MML_注射記録モジュール_本文';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milscm_2023_010.azn_202310_backup_text_mml_mmlinj_body.zip_no IS 'ZipファイルNo';</v>
      </c>
    </row>
    <row r="14" spans="1:45" s="25" customFormat="1">
      <c r="A14" s="4"/>
      <c r="B14" s="21">
        <f t="shared" ref="B14:B18" si="2">ROW()-12</f>
        <v>2</v>
      </c>
      <c r="C14" s="6" t="s">
        <v>2828</v>
      </c>
      <c r="D14" s="6" t="s">
        <v>2829</v>
      </c>
      <c r="E14" s="8" t="s">
        <v>127</v>
      </c>
      <c r="F14" s="7" t="s">
        <v>2827</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milscm_2023_010.azn_202310_backup_text_mml_mmlinj_body.master_id IS '患者ID';</v>
      </c>
    </row>
    <row r="18" spans="1:52" s="25" customFormat="1" ht="31.5">
      <c r="A18" s="4"/>
      <c r="B18" s="21">
        <f t="shared" si="2"/>
        <v>6</v>
      </c>
      <c r="C18" s="6" t="s">
        <v>2859</v>
      </c>
      <c r="D18" s="6" t="s">
        <v>2860</v>
      </c>
      <c r="E18" s="8"/>
      <c r="F18" s="7" t="s">
        <v>1866</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milscm_2023_010.azn_202310_backup_text_mml_mmlinj_body.narcotic_prescription_license_no IS '麻薬施用者番号';</v>
      </c>
    </row>
    <row r="19" spans="1:52" s="25" customFormat="1" ht="19.5" thickBot="1">
      <c r="A19" s="4"/>
      <c r="B19" s="27">
        <f>ROW()-12</f>
        <v>7</v>
      </c>
      <c r="C19" s="57" t="s">
        <v>2861</v>
      </c>
      <c r="D19" s="57" t="s">
        <v>2862</v>
      </c>
      <c r="E19" s="56"/>
      <c r="F19" s="56" t="s">
        <v>1866</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milscm_2023_010.azn_202310_backup_text_mml_mmlinj_body.comment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C00-000000000000}"/>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ENT_01_A6-28</v>
      </c>
      <c r="E6" s="239"/>
      <c r="F6" s="239"/>
      <c r="G6" s="239"/>
      <c r="H6" s="239"/>
      <c r="I6" s="239"/>
      <c r="J6" s="240"/>
    </row>
    <row r="7" spans="1:45">
      <c r="B7" s="228" t="s">
        <v>115</v>
      </c>
      <c r="C7" s="229"/>
      <c r="D7" s="230" t="s">
        <v>2914</v>
      </c>
      <c r="E7" s="231"/>
      <c r="F7" s="231"/>
      <c r="G7" s="231"/>
      <c r="H7" s="231"/>
      <c r="I7" s="231"/>
      <c r="J7" s="232"/>
    </row>
    <row r="8" spans="1:45">
      <c r="B8" s="228" t="s">
        <v>116</v>
      </c>
      <c r="C8" s="229"/>
      <c r="D8" s="230" t="str">
        <f>エンティティ一覧!AE2&amp;"_"&amp;D5&amp;"_text_mml_mmlinj_medication"</f>
        <v>azn_202310_backup_text_mml_mmlinj_medication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milscm_2023_010.azn_202310_backup_text_mml_mmlinj_medication;</v>
      </c>
      <c r="O10" s="78"/>
      <c r="P10" s="78"/>
      <c r="Q10" s="78"/>
      <c r="R10" s="78"/>
      <c r="S10" s="78"/>
      <c r="T10" s="78"/>
      <c r="AJ10" s="78" t="str">
        <f>"ALTER TABLE ONLY "&amp;エンティティ一覧!$O$2&amp;"."&amp;D$8</f>
        <v>ALTER TABLE ONLY milscm_2023_010.azn_202310_backup_text_mml_mmlinj_medication</v>
      </c>
      <c r="AS10" s="78" t="str">
        <f>"ALTER TABLE "&amp;エンティティ一覧!$O$2&amp;"."&amp;D$8&amp;" OWNER TO pgmisgrp1;"</f>
        <v>ALTER TABLE milscm_2023_010.azn_202310_backup_text_mml_mmlinj_medication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milscm_2023_010.azn_202310_backup_text_mml_mmlinj_medication</v>
      </c>
      <c r="O11" s="78"/>
      <c r="P11" s="78"/>
      <c r="Q11" s="78"/>
      <c r="R11" s="78"/>
      <c r="S11" s="78"/>
      <c r="T11" s="78"/>
      <c r="AJ11" s="78" t="str">
        <f>"ADD CONSTRAINT "&amp;D$8&amp;"_pkey PRIMARY KEY"</f>
        <v>ADD CONSTRAINT azn_202310_backup_text_mml_mmlinj_medication_pkey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milscm_2023_010.azn_202310_backup_text_mml_mmlinj_medication IS 'バックアップ_MML_注射記録モジュール_投薬';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milscm_2023_010.azn_202310_backup_text_mml_mmlinj_medication.zip_no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milscm_2023_010.azn_202310_backup_text_mml_mmlinj_medication.facility_id_mml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milscm_2023_010.azn_202310_backup_text_mml_mmlinj_medication.master_id IS '患者ID';</v>
      </c>
    </row>
    <row r="18" spans="1:52" s="25" customFormat="1">
      <c r="A18" s="4"/>
      <c r="B18" s="21">
        <f t="shared" si="2"/>
        <v>6</v>
      </c>
      <c r="C18" s="6" t="s">
        <v>2865</v>
      </c>
      <c r="D18" s="6" t="s">
        <v>2866</v>
      </c>
      <c r="E18" s="8" t="s">
        <v>127</v>
      </c>
      <c r="F18" s="7" t="s">
        <v>2827</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milscm_2023_010.azn_202310_backup_text_mml_mmlinj_medication.medication_no IS '投薬No';</v>
      </c>
    </row>
    <row r="19" spans="1:52" s="25" customFormat="1">
      <c r="A19" s="4"/>
      <c r="B19" s="21">
        <f t="shared" si="2"/>
        <v>7</v>
      </c>
      <c r="C19" s="6" t="s">
        <v>2867</v>
      </c>
      <c r="D19" s="6" t="s">
        <v>2868</v>
      </c>
      <c r="E19" s="8"/>
      <c r="F19" s="7" t="s">
        <v>1866</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milscm_2023_010.azn_202310_backup_text_mml_mmlinj_medication.medicine_name IS '薬剤名称';</v>
      </c>
    </row>
    <row r="20" spans="1:52"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milscm_2023_010.azn_202310_backup_text_mml_mmlinj_medication.dose IS '用量';</v>
      </c>
    </row>
    <row r="21" spans="1:52"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milscm_2023_010.azn_202310_backup_text_mml_mmlinj_medication.dose_unit IS '用量の単位';</v>
      </c>
    </row>
    <row r="22" spans="1:52" s="25" customFormat="1">
      <c r="A22" s="4"/>
      <c r="B22" s="21">
        <f t="shared" si="2"/>
        <v>10</v>
      </c>
      <c r="C22" s="6" t="s">
        <v>2906</v>
      </c>
      <c r="D22" s="6" t="s">
        <v>2907</v>
      </c>
      <c r="E22" s="8"/>
      <c r="F22" s="7" t="s">
        <v>1866</v>
      </c>
      <c r="G22" s="7" t="str">
        <f t="shared" si="7"/>
        <v>text</v>
      </c>
      <c r="H22" s="26"/>
      <c r="I22" s="10"/>
      <c r="J22" s="11" t="s">
        <v>2839</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milscm_2023_010.azn_202310_backup_text_mml_mmlinj_medication.start_date_time IS '投与開始日時';</v>
      </c>
    </row>
    <row r="23" spans="1:52" s="25" customFormat="1">
      <c r="A23" s="4"/>
      <c r="B23" s="21">
        <f t="shared" si="2"/>
        <v>11</v>
      </c>
      <c r="C23" s="6" t="s">
        <v>2908</v>
      </c>
      <c r="D23" s="6" t="s">
        <v>2909</v>
      </c>
      <c r="E23" s="8"/>
      <c r="F23" s="7" t="s">
        <v>1866</v>
      </c>
      <c r="G23" s="7" t="str">
        <f t="shared" si="7"/>
        <v>text</v>
      </c>
      <c r="H23" s="26"/>
      <c r="I23" s="10"/>
      <c r="J23" s="11" t="s">
        <v>2839</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milscm_2023_010.azn_202310_backup_text_mml_mmlinj_medication.end_date_time IS '投与終了日時';</v>
      </c>
    </row>
    <row r="24" spans="1:52" s="25" customFormat="1">
      <c r="A24" s="4"/>
      <c r="B24" s="21">
        <f t="shared" si="2"/>
        <v>12</v>
      </c>
      <c r="C24" s="6" t="s">
        <v>2878</v>
      </c>
      <c r="D24" s="6" t="s">
        <v>2879</v>
      </c>
      <c r="E24" s="8"/>
      <c r="F24" s="7" t="s">
        <v>1866</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milscm_2023_010.azn_202310_backup_text_mml_mmlinj_medication.instruction IS '用法指示';</v>
      </c>
    </row>
    <row r="25" spans="1:52" s="25" customFormat="1">
      <c r="A25" s="4"/>
      <c r="B25" s="21">
        <f t="shared" si="2"/>
        <v>13</v>
      </c>
      <c r="C25" s="6" t="s">
        <v>2884</v>
      </c>
      <c r="D25" s="6" t="s">
        <v>2885</v>
      </c>
      <c r="E25" s="8"/>
      <c r="F25" s="7" t="s">
        <v>1866</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milscm_2023_010.azn_202310_backup_text_mml_mmlinj_medication.route IS '投与経路';</v>
      </c>
    </row>
    <row r="26" spans="1:52" s="25" customFormat="1">
      <c r="A26" s="4"/>
      <c r="B26" s="21">
        <f t="shared" si="2"/>
        <v>14</v>
      </c>
      <c r="C26" s="6" t="s">
        <v>2910</v>
      </c>
      <c r="D26" s="6" t="s">
        <v>2911</v>
      </c>
      <c r="E26" s="8"/>
      <c r="F26" s="7" t="s">
        <v>1866</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milscm_2023_010.azn_202310_backup_text_mml_mmlinj_medication.site IS '投与部位';</v>
      </c>
    </row>
    <row r="27" spans="1:52" s="25" customFormat="1">
      <c r="A27" s="4"/>
      <c r="B27" s="21">
        <f t="shared" si="2"/>
        <v>15</v>
      </c>
      <c r="C27" s="6" t="s">
        <v>2912</v>
      </c>
      <c r="D27" s="6" t="s">
        <v>2913</v>
      </c>
      <c r="E27" s="8"/>
      <c r="F27" s="7" t="s">
        <v>1866</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milscm_2023_010.azn_202310_backup_text_mml_mmlinj_medication.delivery_method IS '注射方法';</v>
      </c>
    </row>
    <row r="28" spans="1:52" s="25" customFormat="1">
      <c r="A28" s="4"/>
      <c r="B28" s="21">
        <f t="shared" si="2"/>
        <v>16</v>
      </c>
      <c r="C28" s="6" t="s">
        <v>2888</v>
      </c>
      <c r="D28" s="6" t="s">
        <v>2889</v>
      </c>
      <c r="E28" s="8"/>
      <c r="F28" s="7" t="s">
        <v>1866</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milscm_2023_010.azn_202310_backup_text_mml_mmlinj_medication.batch_no IS '処方番号';</v>
      </c>
    </row>
    <row r="29" spans="1:52" s="25" customFormat="1" ht="19.5" thickBot="1">
      <c r="A29" s="4"/>
      <c r="B29" s="27">
        <f>ROW()-12</f>
        <v>17</v>
      </c>
      <c r="C29" s="57" t="s">
        <v>2894</v>
      </c>
      <c r="D29" s="57" t="s">
        <v>2895</v>
      </c>
      <c r="E29" s="56"/>
      <c r="F29" s="56" t="s">
        <v>1866</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D00-000000000000}"/>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ENT_01_A6-29</v>
      </c>
      <c r="E6" s="239"/>
      <c r="F6" s="239"/>
      <c r="G6" s="239"/>
      <c r="H6" s="239"/>
      <c r="I6" s="239"/>
      <c r="J6" s="240"/>
    </row>
    <row r="7" spans="1:45">
      <c r="B7" s="228" t="s">
        <v>115</v>
      </c>
      <c r="C7" s="229"/>
      <c r="D7" s="230" t="s">
        <v>2915</v>
      </c>
      <c r="E7" s="231"/>
      <c r="F7" s="231"/>
      <c r="G7" s="231"/>
      <c r="H7" s="231"/>
      <c r="I7" s="231"/>
      <c r="J7" s="232"/>
    </row>
    <row r="8" spans="1:45">
      <c r="B8" s="228" t="s">
        <v>116</v>
      </c>
      <c r="C8" s="229"/>
      <c r="D8" s="230" t="str">
        <f>エンティティ一覧!AE2&amp;"_"&amp;D5&amp;"_text_mml_mmlinj_medicine"</f>
        <v>azn_202310_backup_text_mml_mmlinj_medicine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milscm_2023_010.azn_202310_backup_text_mml_mmlinj_medicine;</v>
      </c>
      <c r="O10" s="78"/>
      <c r="P10" s="78"/>
      <c r="Q10" s="78"/>
      <c r="R10" s="78"/>
      <c r="S10" s="78"/>
      <c r="T10" s="78"/>
      <c r="AJ10" s="78" t="str">
        <f>"ALTER TABLE ONLY "&amp;エンティティ一覧!$O$2&amp;"."&amp;D$8</f>
        <v>ALTER TABLE ONLY milscm_2023_010.azn_202310_backup_text_mml_mmlinj_medicine</v>
      </c>
      <c r="AS10" s="78" t="str">
        <f>"ALTER TABLE "&amp;エンティティ一覧!$O$2&amp;"."&amp;D$8&amp;" OWNER TO pgmisgrp1;"</f>
        <v>ALTER TABLE milscm_2023_010.azn_202310_backup_text_mml_mmlinj_medicine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milscm_2023_010.azn_202310_backup_text_mml_mmlinj_medicine</v>
      </c>
      <c r="O11" s="78"/>
      <c r="P11" s="78"/>
      <c r="Q11" s="78"/>
      <c r="R11" s="78"/>
      <c r="S11" s="78"/>
      <c r="T11" s="78"/>
      <c r="AJ11" s="78" t="str">
        <f>"ADD CONSTRAINT "&amp;D$8&amp;"_pkey PRIMARY KEY"</f>
        <v>ADD CONSTRAINT azn_202310_backup_text_mml_mmlinj_medicine_pkey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milscm_2023_010.azn_202310_backup_text_mml_mmlinj_medicine IS 'バックアップ_MML_注射記録モジュール_薬剤';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milscm_2023_010.azn_202310_backup_text_mml_mmlinj_medicine.zip_no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milscm_2023_010.azn_202310_backup_text_mml_mmlinj_medicine.file_no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milscm_2023_010.azn_202310_backup_text_mml_mmlinj_medicine.body_no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milscm_2023_010.azn_202310_backup_text_mml_mmlinj_medicine.facility_id_mml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milscm_2023_010.azn_202310_backup_text_mml_mmlinj_medicine.master_id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milscm_2023_010.azn_202310_backup_text_mml_mmlinj_medicine.medication_no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milscm_2023_010.azn_202310_backup_text_mml_mmlinj_medicine.medicine_no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milscm_2023_010.azn_202310_backup_text_mml_mmlinj_medicine.code IS '薬剤コード';</v>
      </c>
    </row>
    <row r="21" spans="1:52" s="25" customFormat="1" ht="19.5"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E00-000000000000}"/>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AZ3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ENT_01_A6-42</v>
      </c>
      <c r="E6" s="239"/>
      <c r="F6" s="239"/>
      <c r="G6" s="239"/>
      <c r="H6" s="239"/>
      <c r="I6" s="239"/>
      <c r="J6" s="240"/>
    </row>
    <row r="7" spans="1:45">
      <c r="B7" s="228" t="s">
        <v>115</v>
      </c>
      <c r="C7" s="229"/>
      <c r="D7" s="230" t="s">
        <v>2916</v>
      </c>
      <c r="E7" s="231"/>
      <c r="F7" s="231"/>
      <c r="G7" s="231"/>
      <c r="H7" s="231"/>
      <c r="I7" s="231"/>
      <c r="J7" s="232"/>
    </row>
    <row r="8" spans="1:45">
      <c r="B8" s="228" t="s">
        <v>116</v>
      </c>
      <c r="C8" s="229"/>
      <c r="D8" s="230" t="str">
        <f>エンティティ一覧!AE2&amp;"_"&amp;D5&amp;"_text_mml_mmlsg_surgery_item"</f>
        <v>azn_202310_backup_text_mml_mmlsg_surgery_item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milscm_2023_010.azn_202310_backup_text_mml_mmlsg_surgery_item;</v>
      </c>
      <c r="O10" s="78"/>
      <c r="P10" s="78"/>
      <c r="Q10" s="78"/>
      <c r="R10" s="78"/>
      <c r="S10" s="78"/>
      <c r="T10" s="78"/>
      <c r="AJ10" s="78" t="str">
        <f>"ALTER TABLE ONLY "&amp;エンティティ一覧!$O$2&amp;"."&amp;D$8</f>
        <v>ALTER TABLE ONLY milscm_2023_010.azn_202310_backup_text_mml_mmlsg_surgery_item</v>
      </c>
      <c r="AS10" s="78" t="str">
        <f>"ALTER TABLE "&amp;エンティティ一覧!$O$2&amp;"."&amp;D$8&amp;" OWNER TO pgmisgrp1;"</f>
        <v>ALTER TABLE milscm_2023_010.azn_202310_backup_text_mml_mmlsg_surgery_item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milscm_2023_010.azn_202310_backup_text_mml_mmlsg_surgery_item</v>
      </c>
      <c r="O11" s="78"/>
      <c r="P11" s="78"/>
      <c r="Q11" s="78"/>
      <c r="R11" s="78"/>
      <c r="S11" s="78"/>
      <c r="T11" s="78"/>
      <c r="AJ11" s="78" t="str">
        <f>"ADD CONSTRAINT "&amp;D$8&amp;"_pkey PRIMARY KEY"</f>
        <v>ADD CONSTRAINT azn_202310_backup_text_mml_mmlsg_surgery_item_pkey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milscm_2023_010.azn_202310_backup_text_mml_mmlsg_surgery_item IS 'バックアップ_MML_手術モジュール_手術項目';</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5" si="0">UPPER(G13)</f>
        <v>INTEGER</v>
      </c>
      <c r="R13" s="78" t="str">
        <f t="shared" ref="R13:R25"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milscm_2023_010.azn_202310_backup_text_mml_mmlsg_surgery_item.zip_no IS 'ZipファイルNo';</v>
      </c>
    </row>
    <row r="14" spans="1:45" s="25" customFormat="1">
      <c r="A14" s="4"/>
      <c r="B14" s="21">
        <f t="shared" ref="B14:B24" si="2">ROW()-12</f>
        <v>2</v>
      </c>
      <c r="C14" s="6" t="s">
        <v>2828</v>
      </c>
      <c r="D14" s="6" t="s">
        <v>2829</v>
      </c>
      <c r="E14" s="8" t="s">
        <v>127</v>
      </c>
      <c r="F14" s="7" t="s">
        <v>2827</v>
      </c>
      <c r="G14" s="7" t="str">
        <f t="shared" ref="G14:G25" si="3">IF(F14="フラグ","boolean",IF(F14="文字列","text",IF(F14="整数","integer",IF(F14="実数","numeric",""))))</f>
        <v>integer</v>
      </c>
      <c r="H14" s="26"/>
      <c r="I14" s="10" t="s">
        <v>127</v>
      </c>
      <c r="J14" s="11"/>
      <c r="M14" s="4"/>
      <c r="N14" s="78"/>
      <c r="O14" s="78"/>
      <c r="P14" s="78" t="str">
        <f t="shared" ref="P14:P25" si="4">IF(B14&lt;&gt;1,","&amp;D14,D14)</f>
        <v>,file_no</v>
      </c>
      <c r="Q14" s="78" t="str">
        <f t="shared" si="0"/>
        <v>INTEGER</v>
      </c>
      <c r="R14" s="78" t="str">
        <f t="shared" si="1"/>
        <v/>
      </c>
      <c r="S14" s="78" t="str">
        <f t="shared" ref="S14:S25" si="5">IF(I14="○","NOT NULL","")</f>
        <v>NOT NULL</v>
      </c>
      <c r="T14" s="78" t="str">
        <f t="shared" ref="T14:T25"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milscm_2023_010.azn_202310_backup_text_mml_mmlsg_surgery_item.file_no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milscm_2023_010.azn_202310_backup_text_mml_mmlsg_surgery_item.body_no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milscm_2023_010.azn_202310_backup_text_mml_mmlsg_surgery_item.facility_id_mml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milscm_2023_010.azn_202310_backup_text_mml_mmlsg_surgery_item.master_id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milscm_2023_010.azn_202310_backup_text_mml_mmlsg_surgery_item.surgery_item_no IS '手術項目No';</v>
      </c>
    </row>
    <row r="19" spans="1:52" s="25" customFormat="1">
      <c r="A19" s="4"/>
      <c r="B19" s="21">
        <f t="shared" si="2"/>
        <v>7</v>
      </c>
      <c r="C19" s="6" t="s">
        <v>2919</v>
      </c>
      <c r="D19" s="6" t="s">
        <v>2920</v>
      </c>
      <c r="E19" s="8"/>
      <c r="F19" s="7" t="s">
        <v>1866</v>
      </c>
      <c r="G19" s="7" t="str">
        <f t="shared" si="3"/>
        <v>text</v>
      </c>
      <c r="H19" s="26"/>
      <c r="I19" s="10"/>
      <c r="J19" s="11"/>
      <c r="M19" s="4"/>
      <c r="N19" s="78"/>
      <c r="O19" s="78"/>
      <c r="P19" s="78" t="str">
        <f t="shared" si="4"/>
        <v>,surgical_info_type</v>
      </c>
      <c r="Q19" s="78" t="str">
        <f t="shared" si="0"/>
        <v>TEXT</v>
      </c>
      <c r="R19" s="78" t="str">
        <f t="shared" si="1"/>
        <v/>
      </c>
      <c r="S19" s="78" t="str">
        <f t="shared" si="5"/>
        <v/>
      </c>
      <c r="T19" s="78" t="str">
        <f t="shared" si="6"/>
        <v>-- 手術の種類コード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milscm_2023_010.azn_202310_backup_text_mml_mmlsg_surgery_item.surgical_info_type IS '手術の種類コード';</v>
      </c>
    </row>
    <row r="20" spans="1:52" s="25" customFormat="1">
      <c r="A20" s="4"/>
      <c r="B20" s="21">
        <f t="shared" si="2"/>
        <v>8</v>
      </c>
      <c r="C20" s="6" t="s">
        <v>2921</v>
      </c>
      <c r="D20" s="6" t="s">
        <v>2922</v>
      </c>
      <c r="E20" s="8"/>
      <c r="F20" s="7" t="s">
        <v>1866</v>
      </c>
      <c r="G20" s="7" t="str">
        <f t="shared" ref="G20:G23" si="7">IF(F20="フラグ","boolean",IF(F20="文字列","text",IF(F20="整数","integer",IF(F20="実数","numeric",""))))</f>
        <v>text</v>
      </c>
      <c r="H20" s="26"/>
      <c r="I20" s="10"/>
      <c r="J20" s="11" t="s">
        <v>2896</v>
      </c>
      <c r="M20" s="4"/>
      <c r="N20" s="78"/>
      <c r="O20" s="78"/>
      <c r="P20" s="78" t="str">
        <f t="shared" ref="P20:P23" si="8">IF(B20&lt;&gt;1,","&amp;D20,D20)</f>
        <v>,surgical_info_date</v>
      </c>
      <c r="Q20" s="78" t="str">
        <f t="shared" ref="Q20:Q23" si="9">UPPER(G20)</f>
        <v>TEXT</v>
      </c>
      <c r="R20" s="78" t="str">
        <f t="shared" ref="R20:R23" si="10">IF(H20&lt;&gt;"","default "&amp;IF(G20="text","'"&amp;H20&amp;"'",H20),"")</f>
        <v/>
      </c>
      <c r="S20" s="78" t="str">
        <f t="shared" ref="S20:S23" si="11">IF(I20="○","NOT NULL","")</f>
        <v/>
      </c>
      <c r="T20" s="78" t="str">
        <f t="shared" ref="T20:T23" si="12">"-- "&amp;C20</f>
        <v>-- 手術施行日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milscm_2023_010.azn_202310_backup_text_mml_mmlsg_surgery_item.surgical_info_date IS '手術施行日';</v>
      </c>
    </row>
    <row r="21" spans="1:52" s="25" customFormat="1" ht="29.45" customHeight="1">
      <c r="A21" s="4"/>
      <c r="B21" s="21">
        <f t="shared" si="2"/>
        <v>9</v>
      </c>
      <c r="C21" s="6" t="s">
        <v>2923</v>
      </c>
      <c r="D21" s="6" t="s">
        <v>2924</v>
      </c>
      <c r="E21" s="8"/>
      <c r="F21" s="7" t="s">
        <v>1866</v>
      </c>
      <c r="G21" s="7" t="str">
        <f t="shared" si="7"/>
        <v>text</v>
      </c>
      <c r="H21" s="26"/>
      <c r="I21" s="10"/>
      <c r="J21" s="11" t="s">
        <v>2933</v>
      </c>
      <c r="M21" s="4"/>
      <c r="N21" s="78"/>
      <c r="O21" s="78"/>
      <c r="P21" s="78" t="str">
        <f t="shared" si="8"/>
        <v>,surgical_info_start_time</v>
      </c>
      <c r="Q21" s="78" t="str">
        <f t="shared" si="9"/>
        <v>TEXT</v>
      </c>
      <c r="R21" s="78" t="str">
        <f t="shared" si="10"/>
        <v/>
      </c>
      <c r="S21" s="78" t="str">
        <f t="shared" si="11"/>
        <v/>
      </c>
      <c r="T21" s="78" t="str">
        <f t="shared" si="12"/>
        <v>-- 手術開始時刻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milscm_2023_010.azn_202310_backup_text_mml_mmlsg_surgery_item.surgical_info_start_time IS '手術開始時刻';</v>
      </c>
    </row>
    <row r="22" spans="1:52" s="25" customFormat="1">
      <c r="A22" s="4"/>
      <c r="B22" s="21">
        <f t="shared" si="2"/>
        <v>10</v>
      </c>
      <c r="C22" s="6" t="s">
        <v>2925</v>
      </c>
      <c r="D22" s="6" t="s">
        <v>2926</v>
      </c>
      <c r="E22" s="8"/>
      <c r="F22" s="7" t="s">
        <v>1866</v>
      </c>
      <c r="G22" s="7" t="str">
        <f t="shared" si="7"/>
        <v>text</v>
      </c>
      <c r="H22" s="26"/>
      <c r="I22" s="10"/>
      <c r="J22" s="11" t="s">
        <v>2934</v>
      </c>
      <c r="M22" s="4"/>
      <c r="N22" s="78"/>
      <c r="O22" s="78"/>
      <c r="P22" s="78" t="str">
        <f t="shared" si="8"/>
        <v>,surgical_info_duration</v>
      </c>
      <c r="Q22" s="78" t="str">
        <f t="shared" si="9"/>
        <v>TEXT</v>
      </c>
      <c r="R22" s="78" t="str">
        <f t="shared" si="10"/>
        <v/>
      </c>
      <c r="S22" s="78" t="str">
        <f t="shared" si="11"/>
        <v/>
      </c>
      <c r="T22" s="78" t="str">
        <f t="shared" si="12"/>
        <v>-- 手術時間</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milscm_2023_010.azn_202310_backup_text_mml_mmlsg_surgery_item.surgical_info_duration IS '手術時間';</v>
      </c>
    </row>
    <row r="23" spans="1:52" s="25" customFormat="1">
      <c r="A23" s="4"/>
      <c r="B23" s="21">
        <f t="shared" si="2"/>
        <v>11</v>
      </c>
      <c r="C23" s="6" t="s">
        <v>2927</v>
      </c>
      <c r="D23" s="6" t="s">
        <v>2928</v>
      </c>
      <c r="E23" s="8"/>
      <c r="F23" s="7" t="s">
        <v>1866</v>
      </c>
      <c r="G23" s="7" t="str">
        <f t="shared" si="7"/>
        <v>text</v>
      </c>
      <c r="H23" s="26"/>
      <c r="I23" s="10"/>
      <c r="J23" s="11" t="s">
        <v>2934</v>
      </c>
      <c r="M23" s="4"/>
      <c r="N23" s="78"/>
      <c r="O23" s="78"/>
      <c r="P23" s="78" t="str">
        <f t="shared" si="8"/>
        <v>,anesthesia_duration</v>
      </c>
      <c r="Q23" s="78" t="str">
        <f t="shared" si="9"/>
        <v>TEXT</v>
      </c>
      <c r="R23" s="78" t="str">
        <f t="shared" si="10"/>
        <v/>
      </c>
      <c r="S23" s="78" t="str">
        <f t="shared" si="11"/>
        <v/>
      </c>
      <c r="T23" s="78" t="str">
        <f t="shared" si="12"/>
        <v>-- 麻酔時間</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milscm_2023_010.azn_202310_backup_text_mml_mmlsg_surgery_item.anesthesia_duration IS '麻酔時間';</v>
      </c>
    </row>
    <row r="24" spans="1:52" s="25" customFormat="1">
      <c r="A24" s="4"/>
      <c r="B24" s="21">
        <f t="shared" si="2"/>
        <v>12</v>
      </c>
      <c r="C24" s="6" t="s">
        <v>2929</v>
      </c>
      <c r="D24" s="6" t="s">
        <v>2930</v>
      </c>
      <c r="E24" s="8"/>
      <c r="F24" s="7" t="s">
        <v>1866</v>
      </c>
      <c r="G24" s="7" t="str">
        <f t="shared" si="3"/>
        <v>text</v>
      </c>
      <c r="H24" s="26"/>
      <c r="I24" s="10"/>
      <c r="J24" s="11"/>
      <c r="M24" s="4"/>
      <c r="N24" s="78"/>
      <c r="O24" s="78"/>
      <c r="P24" s="78" t="str">
        <f t="shared" si="4"/>
        <v>,operative_notes</v>
      </c>
      <c r="Q24" s="78" t="str">
        <f t="shared" si="0"/>
        <v>TEXT</v>
      </c>
      <c r="R24" s="78" t="str">
        <f t="shared" si="1"/>
        <v/>
      </c>
      <c r="S24" s="78" t="str">
        <f t="shared" si="5"/>
        <v/>
      </c>
      <c r="T24" s="78" t="str">
        <f t="shared" si="6"/>
        <v>-- 手術記録の自由文章表現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milscm_2023_010.azn_202310_backup_text_mml_mmlsg_surgery_item.operative_notes IS '手術記録の自由文章表現';</v>
      </c>
    </row>
    <row r="25" spans="1:52" s="25" customFormat="1" ht="19.5" thickBot="1">
      <c r="A25" s="4"/>
      <c r="B25" s="27">
        <f>ROW()-12</f>
        <v>13</v>
      </c>
      <c r="C25" s="57" t="s">
        <v>2931</v>
      </c>
      <c r="D25" s="57" t="s">
        <v>2932</v>
      </c>
      <c r="E25" s="56"/>
      <c r="F25" s="56" t="s">
        <v>1866</v>
      </c>
      <c r="G25" s="56" t="str">
        <f t="shared" si="3"/>
        <v>text</v>
      </c>
      <c r="H25" s="59"/>
      <c r="I25" s="60"/>
      <c r="J25" s="64"/>
      <c r="N25" s="78"/>
      <c r="O25" s="78"/>
      <c r="P25" s="78" t="str">
        <f t="shared" si="4"/>
        <v>,memo</v>
      </c>
      <c r="Q25" s="78" t="str">
        <f t="shared" si="0"/>
        <v>TEXT</v>
      </c>
      <c r="R25" s="78" t="str">
        <f t="shared" si="1"/>
        <v/>
      </c>
      <c r="S25" s="78" t="str">
        <f t="shared" si="5"/>
        <v/>
      </c>
      <c r="T25" s="78" t="str">
        <f t="shared" si="6"/>
        <v>-- 手術に関する追加事項</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milscm_2023_010.azn_202310_backup_text_mml_mmlsg_surgery_item.memo IS '手術に関する追加事項';</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4F00-000000000000}"/>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ENT_01_A6-43</v>
      </c>
      <c r="E6" s="239"/>
      <c r="F6" s="239"/>
      <c r="G6" s="239"/>
      <c r="H6" s="239"/>
      <c r="I6" s="239"/>
      <c r="J6" s="240"/>
    </row>
    <row r="7" spans="1:45">
      <c r="B7" s="228" t="s">
        <v>115</v>
      </c>
      <c r="C7" s="229"/>
      <c r="D7" s="230" t="s">
        <v>2935</v>
      </c>
      <c r="E7" s="231"/>
      <c r="F7" s="231"/>
      <c r="G7" s="231"/>
      <c r="H7" s="231"/>
      <c r="I7" s="231"/>
      <c r="J7" s="232"/>
    </row>
    <row r="8" spans="1:45">
      <c r="B8" s="228" t="s">
        <v>116</v>
      </c>
      <c r="C8" s="229"/>
      <c r="D8" s="230" t="str">
        <f>エンティティ一覧!AE2&amp;"_"&amp;D5&amp;"_text_mml_mmlsg_dp"</f>
        <v>azn_202310_backup_text_mml_mmlsg_dp</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milscm_2023_010.azn_202310_backup_text_mml_mmlsg_dp;</v>
      </c>
      <c r="O10" s="78"/>
      <c r="P10" s="78"/>
      <c r="Q10" s="78"/>
      <c r="R10" s="78"/>
      <c r="S10" s="78"/>
      <c r="T10" s="78"/>
      <c r="AJ10" s="78" t="str">
        <f>"ALTER TABLE ONLY "&amp;エンティティ一覧!$O$2&amp;"."&amp;D$8</f>
        <v>ALTER TABLE ONLY milscm_2023_010.azn_202310_backup_text_mml_mmlsg_dp</v>
      </c>
      <c r="AS10" s="78" t="str">
        <f>"ALTER TABLE "&amp;エンティティ一覧!$O$2&amp;"."&amp;D$8&amp;" OWNER TO pgmisgrp1;"</f>
        <v>ALTER TABLE milscm_2023_010.azn_202310_backup_text_mml_mmlsg_dp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milscm_2023_010.azn_202310_backup_text_mml_mmlsg_dp</v>
      </c>
      <c r="O11" s="78"/>
      <c r="P11" s="78"/>
      <c r="Q11" s="78"/>
      <c r="R11" s="78"/>
      <c r="S11" s="78"/>
      <c r="T11" s="78"/>
      <c r="AJ11" s="78" t="str">
        <f>"ADD CONSTRAINT "&amp;D$8&amp;"_pkey PRIMARY KEY"</f>
        <v>ADD CONSTRAINT azn_202310_backup_text_mml_mmlsg_dp_pkey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milscm_2023_010.azn_202310_backup_text_mml_mmlsg_dp IS 'バックアップ_MML_手術モジュール_診療科情報';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milscm_2023_010.azn_202310_backup_text_mml_mmlsg_dp.zip_no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milscm_2023_010.azn_202310_backup_text_mml_mmlsg_dp.file_no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milscm_2023_010.azn_202310_backup_text_mml_mmlsg_dp.body_no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milscm_2023_010.azn_202310_backup_text_mml_mmlsg_dp.facility_id_mml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milscm_2023_010.azn_202310_backup_text_mml_mmlsg_dp.master_id IS '患者ID';</v>
      </c>
    </row>
    <row r="18" spans="1:52" s="25" customFormat="1">
      <c r="A18" s="4"/>
      <c r="B18" s="21">
        <f t="shared" si="2"/>
        <v>6</v>
      </c>
      <c r="C18" s="6" t="s">
        <v>2936</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milscm_2023_010.azn_202310_backup_text_mml_mmlsg_dp.surgery_item_no IS '手術項目No';</v>
      </c>
    </row>
    <row r="19" spans="1:52" s="25" customFormat="1" ht="56.25">
      <c r="A19" s="4"/>
      <c r="B19" s="21">
        <f t="shared" si="2"/>
        <v>7</v>
      </c>
      <c r="C19" s="6" t="s">
        <v>2937</v>
      </c>
      <c r="D19" s="6" t="s">
        <v>2844</v>
      </c>
      <c r="E19" s="8" t="s">
        <v>127</v>
      </c>
      <c r="F19" s="7" t="s">
        <v>1866</v>
      </c>
      <c r="G19" s="7" t="str">
        <f t="shared" ref="G19:G22" si="7">IF(F19="フラグ","boolean",IF(F19="文字列","text",IF(F19="整数","integer",IF(F19="実数","numeric",""))))</f>
        <v>text</v>
      </c>
      <c r="H19" s="26"/>
      <c r="I19" s="10" t="s">
        <v>127</v>
      </c>
      <c r="J19" s="11" t="s">
        <v>2957</v>
      </c>
      <c r="M19" s="4"/>
      <c r="N19" s="78"/>
      <c r="O19" s="78"/>
      <c r="P19" s="78" t="str">
        <f t="shared" ref="P19:P22" si="8">IF(B19&lt;&gt;1,","&amp;D19,D19)</f>
        <v>,tag_name</v>
      </c>
      <c r="Q19" s="78" t="str">
        <f t="shared" ref="Q19:Q22" si="9">UPPER(G19)</f>
        <v>TEXT</v>
      </c>
      <c r="R19" s="78" t="str">
        <f t="shared" ref="R19:R22" si="10">IF(H19&lt;&gt;"","default "&amp;IF(G19="text","'"&amp;H19&amp;"'",H19),"")</f>
        <v/>
      </c>
      <c r="S19" s="78" t="str">
        <f t="shared" ref="S19:S22" si="11">IF(I19="○","NOT NULL","")</f>
        <v>NOT NULL</v>
      </c>
      <c r="T19" s="78" t="str">
        <f t="shared" ref="T19:T22" si="12">"-- "&amp;C19</f>
        <v>-- タグ名</v>
      </c>
      <c r="U19" s="4"/>
      <c r="AA19" s="4"/>
      <c r="AB19" s="4"/>
      <c r="AC19" s="4"/>
      <c r="AD19" s="4"/>
      <c r="AE19" s="4"/>
      <c r="AF19" s="4"/>
      <c r="AG19" s="4"/>
      <c r="AH19" s="4"/>
      <c r="AI19" s="4"/>
      <c r="AJ19" s="78" t="str">
        <f>IF(E19="○",IF(COUNTA(E$13:E19)=1,"",",")&amp;D19,"")</f>
        <v>,tag_name</v>
      </c>
      <c r="AK19" s="4"/>
      <c r="AL19" s="4"/>
      <c r="AM19" s="4"/>
      <c r="AN19" s="4"/>
      <c r="AO19" s="4"/>
      <c r="AP19" s="4"/>
      <c r="AQ19" s="4"/>
      <c r="AR19" s="4"/>
      <c r="AS19" s="78" t="str">
        <f>"COMMENT ON COLUMN "&amp;エンティティ一覧!$O$2&amp;"."&amp;D$8&amp;"."&amp;D19&amp;" IS '"&amp;C19&amp;"';"</f>
        <v>COMMENT ON COLUMN milscm_2023_010.azn_202310_backup_text_mml_mmlsg_dp.tag_name IS 'タグ名';</v>
      </c>
    </row>
    <row r="20" spans="1:52" s="25" customFormat="1">
      <c r="A20" s="4"/>
      <c r="B20" s="21">
        <f t="shared" si="2"/>
        <v>8</v>
      </c>
      <c r="C20" s="6" t="s">
        <v>2938</v>
      </c>
      <c r="D20" s="6" t="s">
        <v>2939</v>
      </c>
      <c r="E20" s="8" t="s">
        <v>127</v>
      </c>
      <c r="F20" s="7" t="s">
        <v>2827</v>
      </c>
      <c r="G20" s="7" t="str">
        <f t="shared" si="7"/>
        <v>integer</v>
      </c>
      <c r="H20" s="26"/>
      <c r="I20" s="10" t="s">
        <v>127</v>
      </c>
      <c r="J20" s="11" t="s">
        <v>2958</v>
      </c>
      <c r="M20" s="4"/>
      <c r="N20" s="78"/>
      <c r="O20" s="78"/>
      <c r="P20" s="78" t="str">
        <f t="shared" si="8"/>
        <v>,dp_no</v>
      </c>
      <c r="Q20" s="78" t="str">
        <f t="shared" si="9"/>
        <v>INTEGER</v>
      </c>
      <c r="R20" s="78" t="str">
        <f t="shared" si="10"/>
        <v/>
      </c>
      <c r="S20" s="78" t="str">
        <f t="shared" si="11"/>
        <v>NOT NULL</v>
      </c>
      <c r="T20" s="78" t="str">
        <f t="shared" si="12"/>
        <v>-- 診療科情報No</v>
      </c>
      <c r="U20" s="4"/>
      <c r="AA20" s="4"/>
      <c r="AB20" s="4"/>
      <c r="AC20" s="4"/>
      <c r="AD20" s="4"/>
      <c r="AE20" s="4"/>
      <c r="AF20" s="4"/>
      <c r="AG20" s="4"/>
      <c r="AH20" s="4"/>
      <c r="AI20" s="4"/>
      <c r="AJ20" s="78" t="str">
        <f>IF(E20="○",IF(COUNTA(E$13:E20)=1,"",",")&amp;D20,"")</f>
        <v>,dp_no</v>
      </c>
      <c r="AK20" s="4"/>
      <c r="AL20" s="4"/>
      <c r="AM20" s="4"/>
      <c r="AN20" s="4"/>
      <c r="AO20" s="4"/>
      <c r="AP20" s="4"/>
      <c r="AQ20" s="4"/>
      <c r="AR20" s="4"/>
      <c r="AS20" s="78" t="str">
        <f>"COMMENT ON COLUMN "&amp;エンティティ一覧!$O$2&amp;"."&amp;D$8&amp;"."&amp;D20&amp;" IS '"&amp;C20&amp;"';"</f>
        <v>COMMENT ON COLUMN milscm_2023_010.azn_202310_backup_text_mml_mmlsg_dp.dp_no IS '診療科情報No';</v>
      </c>
    </row>
    <row r="21" spans="1:52" s="25" customFormat="1">
      <c r="A21" s="4"/>
      <c r="B21" s="21">
        <f t="shared" si="2"/>
        <v>9</v>
      </c>
      <c r="C21" s="6" t="s">
        <v>2940</v>
      </c>
      <c r="D21" s="6" t="s">
        <v>2941</v>
      </c>
      <c r="E21" s="8" t="s">
        <v>127</v>
      </c>
      <c r="F21" s="7" t="s">
        <v>2827</v>
      </c>
      <c r="G21" s="7" t="str">
        <f t="shared" si="7"/>
        <v>integer</v>
      </c>
      <c r="H21" s="26"/>
      <c r="I21" s="10" t="s">
        <v>127</v>
      </c>
      <c r="J21" s="11" t="s">
        <v>2959</v>
      </c>
      <c r="M21" s="4"/>
      <c r="N21" s="78"/>
      <c r="O21" s="78"/>
      <c r="P21" s="78" t="str">
        <f t="shared" si="8"/>
        <v>,dp_name_no</v>
      </c>
      <c r="Q21" s="78" t="str">
        <f t="shared" si="9"/>
        <v>INTEGER</v>
      </c>
      <c r="R21" s="78" t="str">
        <f t="shared" si="10"/>
        <v/>
      </c>
      <c r="S21" s="78" t="str">
        <f t="shared" si="11"/>
        <v>NOT NULL</v>
      </c>
      <c r="T21" s="78" t="str">
        <f t="shared" si="12"/>
        <v>-- 診療科名称No</v>
      </c>
      <c r="U21" s="4"/>
      <c r="AA21" s="4"/>
      <c r="AB21" s="4"/>
      <c r="AC21" s="4"/>
      <c r="AD21" s="4"/>
      <c r="AE21" s="4"/>
      <c r="AF21" s="4"/>
      <c r="AG21" s="4"/>
      <c r="AH21" s="4"/>
      <c r="AI21" s="4"/>
      <c r="AJ21" s="78" t="str">
        <f>IF(E21="○",IF(COUNTA(E$13:E21)=1,"",",")&amp;D21,"")</f>
        <v>,dp_name_no</v>
      </c>
      <c r="AK21" s="4"/>
      <c r="AL21" s="4"/>
      <c r="AM21" s="4"/>
      <c r="AN21" s="4"/>
      <c r="AO21" s="4"/>
      <c r="AP21" s="4"/>
      <c r="AQ21" s="4"/>
      <c r="AR21" s="4"/>
      <c r="AS21" s="78" t="str">
        <f>"COMMENT ON COLUMN "&amp;エンティティ一覧!$O$2&amp;"."&amp;D$8&amp;"."&amp;D21&amp;" IS '"&amp;C21&amp;"';"</f>
        <v>COMMENT ON COLUMN milscm_2023_010.azn_202310_backup_text_mml_mmlsg_dp.dp_name_no IS '診療科名称No';</v>
      </c>
    </row>
    <row r="22" spans="1:52" s="25" customFormat="1">
      <c r="A22" s="4"/>
      <c r="B22" s="21">
        <f t="shared" si="2"/>
        <v>10</v>
      </c>
      <c r="C22" s="6" t="s">
        <v>2942</v>
      </c>
      <c r="D22" s="6" t="s">
        <v>2943</v>
      </c>
      <c r="E22" s="8"/>
      <c r="F22" s="7" t="s">
        <v>1866</v>
      </c>
      <c r="G22" s="7" t="str">
        <f t="shared" si="7"/>
        <v>text</v>
      </c>
      <c r="H22" s="26"/>
      <c r="I22" s="10"/>
      <c r="J22" s="11"/>
      <c r="M22" s="4"/>
      <c r="N22" s="78"/>
      <c r="O22" s="78"/>
      <c r="P22" s="78" t="str">
        <f t="shared" si="8"/>
        <v>,id</v>
      </c>
      <c r="Q22" s="78" t="str">
        <f t="shared" si="9"/>
        <v>TEXT</v>
      </c>
      <c r="R22" s="78" t="str">
        <f t="shared" si="10"/>
        <v/>
      </c>
      <c r="S22" s="78" t="str">
        <f t="shared" si="11"/>
        <v/>
      </c>
      <c r="T22" s="78" t="str">
        <f t="shared" si="12"/>
        <v>-- 診療科ID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milscm_2023_010.azn_202310_backup_text_mml_mmlsg_dp.id IS '診療科ID';</v>
      </c>
    </row>
    <row r="23" spans="1:52" s="25" customFormat="1">
      <c r="A23" s="4"/>
      <c r="B23" s="21">
        <f t="shared" si="2"/>
        <v>11</v>
      </c>
      <c r="C23" s="6" t="s">
        <v>2944</v>
      </c>
      <c r="D23" s="6" t="s">
        <v>2945</v>
      </c>
      <c r="E23" s="8"/>
      <c r="F23" s="7" t="s">
        <v>1866</v>
      </c>
      <c r="G23" s="7" t="str">
        <f t="shared" si="3"/>
        <v>text</v>
      </c>
      <c r="H23" s="26"/>
      <c r="I23" s="10"/>
      <c r="J23" s="11"/>
      <c r="M23" s="4"/>
      <c r="N23" s="78"/>
      <c r="O23" s="78"/>
      <c r="P23" s="78" t="str">
        <f t="shared" si="4"/>
        <v>,type</v>
      </c>
      <c r="Q23" s="78" t="str">
        <f t="shared" si="0"/>
        <v>TEXT</v>
      </c>
      <c r="R23" s="78" t="str">
        <f t="shared" si="1"/>
        <v/>
      </c>
      <c r="S23" s="78" t="str">
        <f t="shared" si="5"/>
        <v/>
      </c>
      <c r="T23" s="78" t="str">
        <f t="shared" si="6"/>
        <v>-- 診療科ID_種類コード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milscm_2023_010.azn_202310_backup_text_mml_mmlsg_dp.type IS '診療科ID_種類コード';</v>
      </c>
    </row>
    <row r="24" spans="1:52" s="25" customFormat="1">
      <c r="A24" s="4"/>
      <c r="B24" s="21">
        <f t="shared" si="2"/>
        <v>12</v>
      </c>
      <c r="C24" s="6" t="s">
        <v>2946</v>
      </c>
      <c r="D24" s="6" t="s">
        <v>2855</v>
      </c>
      <c r="E24" s="8"/>
      <c r="F24" s="7" t="s">
        <v>1866</v>
      </c>
      <c r="G24" s="7" t="str">
        <f t="shared" si="3"/>
        <v>text</v>
      </c>
      <c r="H24" s="26"/>
      <c r="I24" s="10"/>
      <c r="J24" s="11"/>
      <c r="M24" s="4"/>
      <c r="N24" s="78"/>
      <c r="O24" s="78"/>
      <c r="P24" s="78" t="str">
        <f t="shared" si="4"/>
        <v>,table_id</v>
      </c>
      <c r="Q24" s="78" t="str">
        <f t="shared" si="0"/>
        <v>TEXT</v>
      </c>
      <c r="R24" s="78" t="str">
        <f t="shared" si="1"/>
        <v/>
      </c>
      <c r="S24" s="78" t="str">
        <f t="shared" si="5"/>
        <v/>
      </c>
      <c r="T24" s="78" t="str">
        <f t="shared" si="6"/>
        <v>-- 診療科ID_テーブル名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milscm_2023_010.azn_202310_backup_text_mml_mmlsg_dp.table_id IS '診療科ID_テーブル名';</v>
      </c>
    </row>
    <row r="25" spans="1:52" s="25" customFormat="1" ht="29.45" customHeight="1">
      <c r="A25" s="4"/>
      <c r="B25" s="21">
        <f t="shared" si="2"/>
        <v>13</v>
      </c>
      <c r="C25" s="6" t="s">
        <v>2947</v>
      </c>
      <c r="D25" s="6" t="s">
        <v>2948</v>
      </c>
      <c r="E25" s="8"/>
      <c r="F25" s="7" t="s">
        <v>2827</v>
      </c>
      <c r="G25" s="7" t="str">
        <f t="shared" si="3"/>
        <v>integer</v>
      </c>
      <c r="H25" s="26"/>
      <c r="I25" s="10"/>
      <c r="J25" s="11"/>
      <c r="M25" s="4"/>
      <c r="N25" s="78"/>
      <c r="O25" s="78"/>
      <c r="P25" s="78" t="str">
        <f t="shared" si="4"/>
        <v>,check_digit</v>
      </c>
      <c r="Q25" s="78" t="str">
        <f t="shared" si="0"/>
        <v>INTEGER</v>
      </c>
      <c r="R25" s="78" t="str">
        <f t="shared" si="1"/>
        <v/>
      </c>
      <c r="S25" s="78" t="str">
        <f t="shared" si="5"/>
        <v/>
      </c>
      <c r="T25" s="78" t="str">
        <f t="shared" si="6"/>
        <v>-- 診療科ID_チェックディジット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milscm_2023_010.azn_202310_backup_text_mml_mmlsg_dp.check_digit IS '診療科ID_チェックディジット';</v>
      </c>
    </row>
    <row r="26" spans="1:52" s="25" customFormat="1">
      <c r="A26" s="4"/>
      <c r="B26" s="21">
        <f t="shared" si="2"/>
        <v>14</v>
      </c>
      <c r="C26" s="6" t="s">
        <v>2949</v>
      </c>
      <c r="D26" s="6" t="s">
        <v>2950</v>
      </c>
      <c r="E26" s="8"/>
      <c r="F26" s="7" t="s">
        <v>1866</v>
      </c>
      <c r="G26" s="7" t="str">
        <f t="shared" si="3"/>
        <v>text</v>
      </c>
      <c r="H26" s="26"/>
      <c r="I26" s="10"/>
      <c r="J26" s="11"/>
      <c r="M26" s="4"/>
      <c r="N26" s="78"/>
      <c r="O26" s="78"/>
      <c r="P26" s="78" t="str">
        <f t="shared" si="4"/>
        <v>,check_digit_schema</v>
      </c>
      <c r="Q26" s="78" t="str">
        <f t="shared" si="0"/>
        <v>TEXT</v>
      </c>
      <c r="R26" s="78" t="str">
        <f t="shared" si="1"/>
        <v/>
      </c>
      <c r="S26" s="78" t="str">
        <f t="shared" si="5"/>
        <v/>
      </c>
      <c r="T26" s="78" t="str">
        <f t="shared" si="6"/>
        <v>-- 診療科ID_チェックディジット方式</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milscm_2023_010.azn_202310_backup_text_mml_mmlsg_dp.check_digit_schema IS '診療科ID_チェックディジット方式';</v>
      </c>
    </row>
    <row r="27" spans="1:52" s="25" customFormat="1">
      <c r="A27" s="4"/>
      <c r="B27" s="21">
        <f t="shared" si="2"/>
        <v>15</v>
      </c>
      <c r="C27" s="6" t="s">
        <v>2951</v>
      </c>
      <c r="D27" s="6" t="s">
        <v>2952</v>
      </c>
      <c r="E27" s="8"/>
      <c r="F27" s="7" t="s">
        <v>1866</v>
      </c>
      <c r="G27" s="7" t="str">
        <f t="shared" si="3"/>
        <v>text</v>
      </c>
      <c r="H27" s="26"/>
      <c r="I27" s="10"/>
      <c r="J27" s="11"/>
      <c r="M27" s="4"/>
      <c r="N27" s="78"/>
      <c r="O27" s="78"/>
      <c r="P27" s="78" t="str">
        <f t="shared" si="4"/>
        <v>,dp_name</v>
      </c>
      <c r="Q27" s="78" t="str">
        <f t="shared" si="0"/>
        <v>TEXT</v>
      </c>
      <c r="R27" s="78" t="str">
        <f t="shared" si="1"/>
        <v/>
      </c>
      <c r="S27" s="78" t="str">
        <f t="shared" si="5"/>
        <v/>
      </c>
      <c r="T27" s="78" t="str">
        <f t="shared" si="6"/>
        <v>-- 診療科名称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milscm_2023_010.azn_202310_backup_text_mml_mmlsg_dp.dp_name IS '診療科名称';</v>
      </c>
    </row>
    <row r="28" spans="1:52" s="25" customFormat="1">
      <c r="A28" s="4"/>
      <c r="B28" s="21">
        <f t="shared" si="2"/>
        <v>16</v>
      </c>
      <c r="C28" s="6" t="s">
        <v>2953</v>
      </c>
      <c r="D28" s="6" t="s">
        <v>2954</v>
      </c>
      <c r="E28" s="8"/>
      <c r="F28" s="7" t="s">
        <v>1866</v>
      </c>
      <c r="G28" s="7" t="str">
        <f t="shared" si="3"/>
        <v>text</v>
      </c>
      <c r="H28" s="26"/>
      <c r="I28" s="10"/>
      <c r="J28" s="11"/>
      <c r="M28" s="4"/>
      <c r="N28" s="78"/>
      <c r="O28" s="78"/>
      <c r="P28" s="78" t="str">
        <f t="shared" si="4"/>
        <v>,dp_name_rep_code</v>
      </c>
      <c r="Q28" s="78" t="str">
        <f t="shared" si="0"/>
        <v>TEXT</v>
      </c>
      <c r="R28" s="78" t="str">
        <f t="shared" si="1"/>
        <v/>
      </c>
      <c r="S28" s="78" t="str">
        <f t="shared" si="5"/>
        <v/>
      </c>
      <c r="T28" s="78" t="str">
        <f t="shared" si="6"/>
        <v>-- 診療科名称_表記法</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milscm_2023_010.azn_202310_backup_text_mml_mmlsg_dp.dp_name_rep_code IS '診療科名称_表記法';</v>
      </c>
    </row>
    <row r="29" spans="1:52" s="25" customFormat="1" ht="19.5" thickBot="1">
      <c r="A29" s="4"/>
      <c r="B29" s="27">
        <f>ROW()-12</f>
        <v>17</v>
      </c>
      <c r="C29" s="57" t="s">
        <v>2955</v>
      </c>
      <c r="D29" s="57" t="s">
        <v>2956</v>
      </c>
      <c r="E29" s="56"/>
      <c r="F29" s="56" t="s">
        <v>1866</v>
      </c>
      <c r="G29" s="56" t="str">
        <f t="shared" si="3"/>
        <v>text</v>
      </c>
      <c r="H29" s="59"/>
      <c r="I29" s="60"/>
      <c r="J29" s="64"/>
      <c r="N29" s="78"/>
      <c r="O29" s="78"/>
      <c r="P29" s="78" t="str">
        <f t="shared" si="4"/>
        <v>,dp_name_table_id</v>
      </c>
      <c r="Q29" s="78" t="str">
        <f t="shared" si="0"/>
        <v>TEXT</v>
      </c>
      <c r="R29" s="78" t="str">
        <f t="shared" si="1"/>
        <v/>
      </c>
      <c r="S29" s="78" t="str">
        <f t="shared" si="5"/>
        <v/>
      </c>
      <c r="T29" s="78" t="str">
        <f t="shared" si="6"/>
        <v>-- 診療科名称_テーブル名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milscm_2023_010.azn_202310_backup_text_mml_mmlsg_dp.dp_name_table_id IS '診療科名称_テーブル名';</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000-000000000000}"/>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ENT_01_A6-44</v>
      </c>
      <c r="E6" s="239"/>
      <c r="F6" s="239"/>
      <c r="G6" s="239"/>
      <c r="H6" s="239"/>
      <c r="I6" s="239"/>
      <c r="J6" s="240"/>
    </row>
    <row r="7" spans="1:45">
      <c r="B7" s="228" t="s">
        <v>115</v>
      </c>
      <c r="C7" s="229"/>
      <c r="D7" s="230" t="s">
        <v>2960</v>
      </c>
      <c r="E7" s="231"/>
      <c r="F7" s="231"/>
      <c r="G7" s="231"/>
      <c r="H7" s="231"/>
      <c r="I7" s="231"/>
      <c r="J7" s="232"/>
    </row>
    <row r="8" spans="1:45">
      <c r="B8" s="228" t="s">
        <v>116</v>
      </c>
      <c r="C8" s="229"/>
      <c r="D8" s="230" t="str">
        <f>エンティティ一覧!AE2&amp;"_"&amp;D5&amp;"_text_mml_mmlsg_rd"</f>
        <v>azn_202310_backup_text_mml_mmlsg_rd</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milscm_2023_010.azn_202310_backup_text_mml_mmlsg_rd;</v>
      </c>
      <c r="O10" s="78"/>
      <c r="P10" s="78"/>
      <c r="Q10" s="78"/>
      <c r="R10" s="78"/>
      <c r="S10" s="78"/>
      <c r="T10" s="78"/>
      <c r="AJ10" s="78" t="str">
        <f>"ALTER TABLE ONLY "&amp;エンティティ一覧!$O$2&amp;"."&amp;D$8</f>
        <v>ALTER TABLE ONLY milscm_2023_010.azn_202310_backup_text_mml_mmlsg_rd</v>
      </c>
      <c r="AS10" s="78" t="str">
        <f>"ALTER TABLE "&amp;エンティティ一覧!$O$2&amp;"."&amp;D$8&amp;" OWNER TO pgmisgrp1;"</f>
        <v>ALTER TABLE milscm_2023_010.azn_202310_backup_text_mml_mmlsg_rd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milscm_2023_010.azn_202310_backup_text_mml_mmlsg_rd</v>
      </c>
      <c r="O11" s="78"/>
      <c r="P11" s="78"/>
      <c r="Q11" s="78"/>
      <c r="R11" s="78"/>
      <c r="S11" s="78"/>
      <c r="T11" s="78"/>
      <c r="AJ11" s="78" t="str">
        <f>"ADD CONSTRAINT "&amp;D$8&amp;"_pkey PRIMARY KEY"</f>
        <v>ADD CONSTRAINT azn_202310_backup_text_mml_mmlsg_rd_pkey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 IS 'バックアップ_MML_手術モジュール_診断履歴情報';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milscm_2023_010.azn_202310_backup_text_mml_mmlsg_rd.rd_no IS '診断履歴情報No';</v>
      </c>
    </row>
    <row r="20" spans="1:52" s="25" customFormat="1">
      <c r="A20" s="4"/>
      <c r="B20" s="21">
        <f t="shared" si="2"/>
        <v>8</v>
      </c>
      <c r="C20" s="6" t="s">
        <v>1348</v>
      </c>
      <c r="D20" s="6" t="s">
        <v>2834</v>
      </c>
      <c r="E20" s="8"/>
      <c r="F20" s="7" t="s">
        <v>1866</v>
      </c>
      <c r="G20" s="7" t="str">
        <f t="shared" si="3"/>
        <v>text</v>
      </c>
      <c r="H20" s="26"/>
      <c r="I20" s="10"/>
      <c r="J20" s="11" t="s">
        <v>2839</v>
      </c>
      <c r="M20" s="4"/>
      <c r="N20" s="78"/>
      <c r="O20" s="78"/>
      <c r="P20" s="78" t="str">
        <f t="shared" si="4"/>
        <v>,start_date</v>
      </c>
      <c r="Q20" s="78" t="str">
        <f t="shared" si="0"/>
        <v>TEXT</v>
      </c>
      <c r="R20" s="78" t="str">
        <f t="shared" si="1"/>
        <v/>
      </c>
      <c r="S20" s="78" t="str">
        <f t="shared" si="5"/>
        <v/>
      </c>
      <c r="T20" s="78" t="str">
        <f t="shared" si="6"/>
        <v>-- 疾患開始日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milscm_2023_010.azn_202310_backup_text_mml_mmlsg_rd.start_date IS '疾患開始日';</v>
      </c>
    </row>
    <row r="21" spans="1:52" s="25" customFormat="1" ht="29.45" customHeight="1">
      <c r="A21" s="4"/>
      <c r="B21" s="21">
        <f t="shared" si="2"/>
        <v>9</v>
      </c>
      <c r="C21" s="6" t="s">
        <v>1350</v>
      </c>
      <c r="D21" s="6" t="s">
        <v>2835</v>
      </c>
      <c r="E21" s="8"/>
      <c r="F21" s="7" t="s">
        <v>1866</v>
      </c>
      <c r="G21" s="7" t="str">
        <f t="shared" si="3"/>
        <v>text</v>
      </c>
      <c r="H21" s="26"/>
      <c r="I21" s="10"/>
      <c r="J21" s="11" t="s">
        <v>2839</v>
      </c>
      <c r="M21" s="4"/>
      <c r="N21" s="78"/>
      <c r="O21" s="78"/>
      <c r="P21" s="78" t="str">
        <f t="shared" si="4"/>
        <v>,end_date</v>
      </c>
      <c r="Q21" s="78" t="str">
        <f t="shared" si="0"/>
        <v>TEXT</v>
      </c>
      <c r="R21" s="78" t="str">
        <f t="shared" si="1"/>
        <v/>
      </c>
      <c r="S21" s="78" t="str">
        <f t="shared" si="5"/>
        <v/>
      </c>
      <c r="T21" s="78" t="str">
        <f t="shared" si="6"/>
        <v>-- 疾患終了日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milscm_2023_010.azn_202310_backup_text_mml_mmlsg_rd.end_date IS '疾患終了日';</v>
      </c>
    </row>
    <row r="22" spans="1:52" s="25" customFormat="1">
      <c r="A22" s="4"/>
      <c r="B22" s="21">
        <f t="shared" si="2"/>
        <v>10</v>
      </c>
      <c r="C22" s="6" t="s">
        <v>1352</v>
      </c>
      <c r="D22" s="6" t="s">
        <v>2836</v>
      </c>
      <c r="E22" s="8"/>
      <c r="F22" s="7" t="s">
        <v>1866</v>
      </c>
      <c r="G22" s="7" t="str">
        <f t="shared" si="3"/>
        <v>text</v>
      </c>
      <c r="H22" s="26"/>
      <c r="I22" s="10"/>
      <c r="J22" s="11"/>
      <c r="M22" s="4"/>
      <c r="N22" s="78"/>
      <c r="O22" s="78"/>
      <c r="P22" s="78" t="str">
        <f t="shared" si="4"/>
        <v>,outcome</v>
      </c>
      <c r="Q22" s="78" t="str">
        <f t="shared" si="0"/>
        <v>TEXT</v>
      </c>
      <c r="R22" s="78" t="str">
        <f t="shared" si="1"/>
        <v/>
      </c>
      <c r="S22" s="78" t="str">
        <f t="shared" si="5"/>
        <v/>
      </c>
      <c r="T22" s="78" t="str">
        <f t="shared" si="6"/>
        <v>-- 転帰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milscm_2023_010.azn_202310_backup_text_mml_mmlsg_rd.outcome IS '転帰';</v>
      </c>
    </row>
    <row r="23" spans="1:52" s="25" customFormat="1" ht="19.5" thickBot="1">
      <c r="A23" s="4"/>
      <c r="B23" s="27">
        <f>ROW()-12</f>
        <v>11</v>
      </c>
      <c r="C23" s="57" t="s">
        <v>1354</v>
      </c>
      <c r="D23" s="57" t="s">
        <v>2837</v>
      </c>
      <c r="E23" s="56"/>
      <c r="F23" s="56" t="s">
        <v>1866</v>
      </c>
      <c r="G23" s="56" t="str">
        <f t="shared" si="3"/>
        <v>text</v>
      </c>
      <c r="H23" s="59"/>
      <c r="I23" s="60"/>
      <c r="J23" s="64"/>
      <c r="N23" s="78"/>
      <c r="O23" s="78"/>
      <c r="P23" s="78" t="str">
        <f t="shared" si="4"/>
        <v>,first_encounter_date</v>
      </c>
      <c r="Q23" s="78" t="str">
        <f t="shared" si="0"/>
        <v>TEXT</v>
      </c>
      <c r="R23" s="78" t="str">
        <f t="shared" si="1"/>
        <v/>
      </c>
      <c r="S23" s="78" t="str">
        <f t="shared" si="5"/>
        <v/>
      </c>
      <c r="T23" s="78" t="str">
        <f t="shared" si="6"/>
        <v>-- 疾患の初診日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milscm_2023_010.azn_202310_backup_text_mml_mmlsg_rd.first_encounter_date IS '疾患の初診日';</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100-000000000000}"/>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AZ2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ENT_01_A6-45</v>
      </c>
      <c r="E6" s="239"/>
      <c r="F6" s="239"/>
      <c r="G6" s="239"/>
      <c r="H6" s="239"/>
      <c r="I6" s="239"/>
      <c r="J6" s="240"/>
    </row>
    <row r="7" spans="1:45">
      <c r="B7" s="228" t="s">
        <v>115</v>
      </c>
      <c r="C7" s="229"/>
      <c r="D7" s="230" t="s">
        <v>2963</v>
      </c>
      <c r="E7" s="231"/>
      <c r="F7" s="231"/>
      <c r="G7" s="231"/>
      <c r="H7" s="231"/>
      <c r="I7" s="231"/>
      <c r="J7" s="232"/>
    </row>
    <row r="8" spans="1:45">
      <c r="B8" s="228" t="s">
        <v>116</v>
      </c>
      <c r="C8" s="229"/>
      <c r="D8" s="230" t="str">
        <f>エンティティ一覧!AE2&amp;"_"&amp;D5&amp;"_text_mml_mmlsg_rd_byomei"</f>
        <v>azn_202310_backup_text_mml_mmlsg_rd_byomei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milscm_2023_010.azn_202310_backup_text_mml_mmlsg_rd_byomei;</v>
      </c>
      <c r="O10" s="78"/>
      <c r="P10" s="78"/>
      <c r="Q10" s="78"/>
      <c r="R10" s="78"/>
      <c r="S10" s="78"/>
      <c r="T10" s="78"/>
      <c r="AJ10" s="78" t="str">
        <f>"ALTER TABLE ONLY "&amp;エンティティ一覧!$O$2&amp;"."&amp;D$8</f>
        <v>ALTER TABLE ONLY milscm_2023_010.azn_202310_backup_text_mml_mmlsg_rd_byomei</v>
      </c>
      <c r="AS10" s="78" t="str">
        <f>"ALTER TABLE "&amp;エンティティ一覧!$O$2&amp;"."&amp;D$8&amp;" OWNER TO pgmisgrp1;"</f>
        <v>ALTER TABLE milscm_2023_010.azn_202310_backup_text_mml_mmlsg_rd_byomei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milscm_2023_010.azn_202310_backup_text_mml_mmlsg_rd_byomei</v>
      </c>
      <c r="O11" s="78"/>
      <c r="P11" s="78"/>
      <c r="Q11" s="78"/>
      <c r="R11" s="78"/>
      <c r="S11" s="78"/>
      <c r="T11" s="78"/>
      <c r="AJ11" s="78" t="str">
        <f>"ADD CONSTRAINT "&amp;D$8&amp;"_pkey PRIMARY KEY"</f>
        <v>ADD CONSTRAINT azn_202310_backup_text_mml_mmlsg_rd_byomei_pkey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milscm_2023_010.azn_202310_backup_text_mml_mmlsg_rd_byomei IS 'バックアップ_MML_手術モジュール_病名';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4" si="0">UPPER(G13)</f>
        <v>INTEGER</v>
      </c>
      <c r="R13" s="78" t="str">
        <f t="shared" ref="R13:R2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milscm_2023_010.azn_202310_backup_text_mml_mmlsg_rd_byomei.zip_no IS 'ZipファイルNo';</v>
      </c>
    </row>
    <row r="14" spans="1:45" s="25" customFormat="1">
      <c r="A14" s="4"/>
      <c r="B14" s="21">
        <f t="shared" ref="B14:B23" si="2">ROW()-12</f>
        <v>2</v>
      </c>
      <c r="C14" s="6" t="s">
        <v>2828</v>
      </c>
      <c r="D14" s="6" t="s">
        <v>2829</v>
      </c>
      <c r="E14" s="8" t="s">
        <v>127</v>
      </c>
      <c r="F14" s="7" t="s">
        <v>2827</v>
      </c>
      <c r="G14" s="7" t="str">
        <f t="shared" ref="G14:G24" si="3">IF(F14="フラグ","boolean",IF(F14="文字列","text",IF(F14="整数","integer",IF(F14="実数","numeric",""))))</f>
        <v>integer</v>
      </c>
      <c r="H14" s="26"/>
      <c r="I14" s="10" t="s">
        <v>127</v>
      </c>
      <c r="J14" s="11"/>
      <c r="M14" s="4"/>
      <c r="N14" s="78"/>
      <c r="O14" s="78"/>
      <c r="P14" s="78" t="str">
        <f t="shared" ref="P14:P24" si="4">IF(B14&lt;&gt;1,","&amp;D14,D14)</f>
        <v>,file_no</v>
      </c>
      <c r="Q14" s="78" t="str">
        <f t="shared" si="0"/>
        <v>INTEGER</v>
      </c>
      <c r="R14" s="78" t="str">
        <f t="shared" si="1"/>
        <v/>
      </c>
      <c r="S14" s="78" t="str">
        <f t="shared" ref="S14:S24" si="5">IF(I14="○","NOT NULL","")</f>
        <v>NOT NULL</v>
      </c>
      <c r="T14" s="78" t="str">
        <f t="shared" ref="T14:T2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milscm_2023_010.azn_202310_backup_text_mml_mmlsg_rd_byomei.master_id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milscm_2023_010.azn_202310_backup_text_mml_mmlsg_rd_byomei.surgery_item_no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milscm_2023_010.azn_202310_backup_text_mml_mmlsg_rd_byomei.rd_no IS '診断履歴情報No';</v>
      </c>
    </row>
    <row r="20" spans="1:52" s="25" customFormat="1">
      <c r="A20" s="4"/>
      <c r="B20" s="21">
        <f t="shared" si="2"/>
        <v>8</v>
      </c>
      <c r="C20" s="6" t="s">
        <v>2841</v>
      </c>
      <c r="D20" s="6" t="s">
        <v>2842</v>
      </c>
      <c r="E20" s="8" t="s">
        <v>127</v>
      </c>
      <c r="F20" s="7" t="s">
        <v>2827</v>
      </c>
      <c r="G20" s="7" t="str">
        <f t="shared" si="3"/>
        <v>integer</v>
      </c>
      <c r="H20" s="26"/>
      <c r="I20" s="10" t="s">
        <v>127</v>
      </c>
      <c r="J20" s="11"/>
      <c r="M20" s="4"/>
      <c r="N20" s="78"/>
      <c r="O20" s="78"/>
      <c r="P20" s="78" t="str">
        <f t="shared" si="4"/>
        <v>,byomei_no</v>
      </c>
      <c r="Q20" s="78" t="str">
        <f t="shared" si="0"/>
        <v>INTEGER</v>
      </c>
      <c r="R20" s="78" t="str">
        <f t="shared" si="1"/>
        <v/>
      </c>
      <c r="S20" s="78" t="str">
        <f t="shared" si="5"/>
        <v>NOT NULL</v>
      </c>
      <c r="T20" s="78" t="str">
        <f t="shared" si="6"/>
        <v>-- 病名No</v>
      </c>
      <c r="U20" s="4"/>
      <c r="AA20" s="4"/>
      <c r="AB20" s="4"/>
      <c r="AC20" s="4"/>
      <c r="AD20" s="4"/>
      <c r="AE20" s="4"/>
      <c r="AF20" s="4"/>
      <c r="AG20" s="4"/>
      <c r="AH20" s="4"/>
      <c r="AI20" s="4"/>
      <c r="AJ20" s="78" t="str">
        <f>IF(E20="○",IF(COUNTA(E$13:E20)=1,"",",")&amp;D20,"")</f>
        <v>,byomei_no</v>
      </c>
      <c r="AK20" s="4"/>
      <c r="AL20" s="4"/>
      <c r="AM20" s="4"/>
      <c r="AN20" s="4"/>
      <c r="AO20" s="4"/>
      <c r="AP20" s="4"/>
      <c r="AQ20" s="4"/>
      <c r="AR20" s="4"/>
      <c r="AS20" s="78" t="str">
        <f>"COMMENT ON COLUMN "&amp;エンティティ一覧!$O$2&amp;"."&amp;D$8&amp;"."&amp;D20&amp;" IS '"&amp;C20&amp;"';"</f>
        <v>COMMENT ON COLUMN milscm_2023_010.azn_202310_backup_text_mml_mmlsg_rd_byomei.byomei_no IS '病名No';</v>
      </c>
    </row>
    <row r="21" spans="1:52" s="25" customFormat="1" ht="29.45" customHeight="1">
      <c r="A21" s="4"/>
      <c r="B21" s="21">
        <f t="shared" si="2"/>
        <v>9</v>
      </c>
      <c r="C21" s="6" t="s">
        <v>2843</v>
      </c>
      <c r="D21" s="6" t="s">
        <v>2844</v>
      </c>
      <c r="E21" s="8"/>
      <c r="F21" s="7" t="s">
        <v>1866</v>
      </c>
      <c r="G21" s="7" t="str">
        <f t="shared" si="3"/>
        <v>text</v>
      </c>
      <c r="H21" s="26"/>
      <c r="I21" s="10"/>
      <c r="J21" s="11" t="s">
        <v>2849</v>
      </c>
      <c r="M21" s="4"/>
      <c r="N21" s="78"/>
      <c r="O21" s="78"/>
      <c r="P21" s="78" t="str">
        <f t="shared" si="4"/>
        <v>,tag_name</v>
      </c>
      <c r="Q21" s="78" t="str">
        <f t="shared" si="0"/>
        <v>TEXT</v>
      </c>
      <c r="R21" s="78" t="str">
        <f t="shared" si="1"/>
        <v/>
      </c>
      <c r="S21" s="78" t="str">
        <f t="shared" si="5"/>
        <v/>
      </c>
      <c r="T21" s="78" t="str">
        <f t="shared" si="6"/>
        <v>-- タグ名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milscm_2023_010.azn_202310_backup_text_mml_mmlsg_rd_byomei.tag_name IS 'タグ名';</v>
      </c>
    </row>
    <row r="22" spans="1:52" s="25" customFormat="1" ht="37.5">
      <c r="A22" s="4"/>
      <c r="B22" s="21">
        <f t="shared" si="2"/>
        <v>10</v>
      </c>
      <c r="C22" s="6" t="s">
        <v>1366</v>
      </c>
      <c r="D22" s="6" t="s">
        <v>2845</v>
      </c>
      <c r="E22" s="8"/>
      <c r="F22" s="7" t="s">
        <v>1866</v>
      </c>
      <c r="G22" s="7" t="str">
        <f t="shared" ref="G22" si="7">IF(F22="フラグ","boolean",IF(F22="文字列","text",IF(F22="整数","integer",IF(F22="実数","numeric",""))))</f>
        <v>text</v>
      </c>
      <c r="H22" s="26"/>
      <c r="I22" s="10"/>
      <c r="J22" s="11" t="s">
        <v>2850</v>
      </c>
      <c r="M22" s="4"/>
      <c r="N22" s="78"/>
      <c r="O22" s="78"/>
      <c r="P22" s="78" t="str">
        <f t="shared" ref="P22" si="8">IF(B22&lt;&gt;1,","&amp;D22,D22)</f>
        <v>,diagnosis</v>
      </c>
      <c r="Q22" s="78" t="str">
        <f t="shared" ref="Q22" si="9">UPPER(G22)</f>
        <v>TEXT</v>
      </c>
      <c r="R22" s="78" t="str">
        <f t="shared" ref="R22" si="10">IF(H22&lt;&gt;"","default "&amp;IF(G22="text","'"&amp;H22&amp;"'",H22),"")</f>
        <v/>
      </c>
      <c r="S22" s="78" t="str">
        <f t="shared" ref="S22" si="11">IF(I22="○","NOT NULL","")</f>
        <v/>
      </c>
      <c r="T22" s="78" t="str">
        <f t="shared" ref="T22" si="12">"-- "&amp;C22</f>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milscm_2023_010.azn_202310_backup_text_mml_mmlsg_rd_byomei.diagnosis IS '病名';</v>
      </c>
    </row>
    <row r="23" spans="1:52" s="25" customFormat="1">
      <c r="A23" s="4"/>
      <c r="B23" s="21">
        <f t="shared" si="2"/>
        <v>11</v>
      </c>
      <c r="C23" s="6" t="s">
        <v>2846</v>
      </c>
      <c r="D23" s="6" t="s">
        <v>360</v>
      </c>
      <c r="E23" s="8"/>
      <c r="F23" s="7" t="s">
        <v>1866</v>
      </c>
      <c r="G23" s="7" t="str">
        <f t="shared" si="3"/>
        <v>text</v>
      </c>
      <c r="H23" s="26"/>
      <c r="I23" s="10"/>
      <c r="J23" s="11"/>
      <c r="M23" s="4"/>
      <c r="N23" s="78"/>
      <c r="O23" s="78"/>
      <c r="P23" s="78" t="str">
        <f t="shared" si="4"/>
        <v>,code</v>
      </c>
      <c r="Q23" s="78" t="str">
        <f t="shared" si="0"/>
        <v>TEXT</v>
      </c>
      <c r="R23" s="78" t="str">
        <f t="shared" si="1"/>
        <v/>
      </c>
      <c r="S23" s="78" t="str">
        <f t="shared" si="5"/>
        <v/>
      </c>
      <c r="T23" s="78" t="str">
        <f t="shared" si="6"/>
        <v>-- 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milscm_2023_010.azn_202310_backup_text_mml_mmlsg_rd_byomei.code IS 'コード値';</v>
      </c>
    </row>
    <row r="24" spans="1:52" s="25" customFormat="1" ht="19.5" thickBot="1">
      <c r="A24" s="4"/>
      <c r="B24" s="27">
        <f>ROW()-12</f>
        <v>12</v>
      </c>
      <c r="C24" s="57" t="s">
        <v>2847</v>
      </c>
      <c r="D24" s="57" t="s">
        <v>2848</v>
      </c>
      <c r="E24" s="56"/>
      <c r="F24" s="56" t="s">
        <v>1866</v>
      </c>
      <c r="G24" s="56" t="str">
        <f t="shared" si="3"/>
        <v>text</v>
      </c>
      <c r="H24" s="59"/>
      <c r="I24" s="60"/>
      <c r="J24" s="64"/>
      <c r="N24" s="78"/>
      <c r="O24" s="78"/>
      <c r="P24" s="78" t="str">
        <f t="shared" si="4"/>
        <v>,system</v>
      </c>
      <c r="Q24" s="78" t="str">
        <f t="shared" si="0"/>
        <v>TEXT</v>
      </c>
      <c r="R24" s="78" t="str">
        <f t="shared" si="1"/>
        <v/>
      </c>
      <c r="S24" s="78" t="str">
        <f t="shared" si="5"/>
        <v/>
      </c>
      <c r="T24" s="78" t="str">
        <f t="shared" si="6"/>
        <v>-- 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milscm_2023_010.azn_202310_backup_text_mml_mmlsg_rd_byomei.system IS 'コード体系名';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200-000000000000}"/>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ENT_01_A6-46</v>
      </c>
      <c r="E6" s="239"/>
      <c r="F6" s="239"/>
      <c r="G6" s="239"/>
      <c r="H6" s="239"/>
      <c r="I6" s="239"/>
      <c r="J6" s="240"/>
    </row>
    <row r="7" spans="1:45">
      <c r="B7" s="228" t="s">
        <v>115</v>
      </c>
      <c r="C7" s="229"/>
      <c r="D7" s="230" t="s">
        <v>2964</v>
      </c>
      <c r="E7" s="231"/>
      <c r="F7" s="231"/>
      <c r="G7" s="231"/>
      <c r="H7" s="231"/>
      <c r="I7" s="231"/>
      <c r="J7" s="232"/>
    </row>
    <row r="8" spans="1:45">
      <c r="B8" s="228" t="s">
        <v>116</v>
      </c>
      <c r="C8" s="229"/>
      <c r="D8" s="230" t="str">
        <f>エンティティ一覧!AE2&amp;"_"&amp;D5&amp;"_text_mml_mmlsg_rd_category"</f>
        <v>azn_202310_backup_text_mml_mmlsg_rd_category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milscm_2023_010.azn_202310_backup_text_mml_mmlsg_rd_category;</v>
      </c>
      <c r="O10" s="78"/>
      <c r="P10" s="78"/>
      <c r="Q10" s="78"/>
      <c r="R10" s="78"/>
      <c r="S10" s="78"/>
      <c r="T10" s="78"/>
      <c r="AJ10" s="78" t="str">
        <f>"ALTER TABLE ONLY "&amp;エンティティ一覧!$O$2&amp;"."&amp;D$8</f>
        <v>ALTER TABLE ONLY milscm_2023_010.azn_202310_backup_text_mml_mmlsg_rd_category</v>
      </c>
      <c r="AS10" s="78" t="str">
        <f>"ALTER TABLE "&amp;エンティティ一覧!$O$2&amp;"."&amp;D$8&amp;" OWNER TO pgmisgrp1;"</f>
        <v>ALTER TABLE milscm_2023_010.azn_202310_backup_text_mml_mmlsg_rd_category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milscm_2023_010.azn_202310_backup_text_mml_mmlsg_rd_category</v>
      </c>
      <c r="O11" s="78"/>
      <c r="P11" s="78"/>
      <c r="Q11" s="78"/>
      <c r="R11" s="78"/>
      <c r="S11" s="78"/>
      <c r="T11" s="78"/>
      <c r="AJ11" s="78" t="str">
        <f>"ADD CONSTRAINT "&amp;D$8&amp;"_pkey PRIMARY KEY"</f>
        <v>ADD CONSTRAINT azn_202310_backup_text_mml_mmlsg_rd_category_pkey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milscm_2023_010.azn_202310_backup_text_mml_mmlsg_rd_category IS 'バックアップ_MML_手術モジュール_カテゴリ名';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milscm_2023_010.azn_202310_backup_text_mml_mmlsg_rd_category.zip_no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milscm_2023_010.azn_202310_backup_text_mml_mmlsg_rd_category.file_no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milscm_2023_010.azn_202310_backup_text_mml_mmlsg_rd_category.body_no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milscm_2023_010.azn_202310_backup_text_mml_mmlsg_rd_category.facility_id_mml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milscm_2023_010.azn_202310_backup_text_mml_mmlsg_rd_category.master_id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milscm_2023_010.azn_202310_backup_text_mml_mmlsg_rd_category.surgery_item_no IS '手術項目No';</v>
      </c>
    </row>
    <row r="19" spans="1:52" s="25" customFormat="1">
      <c r="A19" s="4"/>
      <c r="B19" s="21">
        <f t="shared" si="2"/>
        <v>7</v>
      </c>
      <c r="C19" s="6" t="s">
        <v>2961</v>
      </c>
      <c r="D19" s="6" t="s">
        <v>2962</v>
      </c>
      <c r="E19" s="8" t="s">
        <v>127</v>
      </c>
      <c r="F19" s="7" t="s">
        <v>2827</v>
      </c>
      <c r="G19" s="7" t="str">
        <f t="shared" si="3"/>
        <v>integer</v>
      </c>
      <c r="H19" s="26"/>
      <c r="I19" s="10" t="s">
        <v>127</v>
      </c>
      <c r="J19" s="11"/>
      <c r="M19" s="4"/>
      <c r="N19" s="78"/>
      <c r="O19" s="78"/>
      <c r="P19" s="78" t="str">
        <f t="shared" si="4"/>
        <v>,rd_no</v>
      </c>
      <c r="Q19" s="78" t="str">
        <f t="shared" si="0"/>
        <v>INTEGER</v>
      </c>
      <c r="R19" s="78" t="str">
        <f t="shared" si="1"/>
        <v/>
      </c>
      <c r="S19" s="78" t="str">
        <f t="shared" si="5"/>
        <v>NOT NULL</v>
      </c>
      <c r="T19" s="78" t="str">
        <f t="shared" si="6"/>
        <v>-- 診断履歴情報No</v>
      </c>
      <c r="U19" s="4"/>
      <c r="AA19" s="4"/>
      <c r="AB19" s="4"/>
      <c r="AC19" s="4"/>
      <c r="AD19" s="4"/>
      <c r="AE19" s="4"/>
      <c r="AF19" s="4"/>
      <c r="AG19" s="4"/>
      <c r="AH19" s="4"/>
      <c r="AI19" s="4"/>
      <c r="AJ19" s="78" t="str">
        <f>IF(E19="○",IF(COUNTA(E$13:E19)=1,"",",")&amp;D19,"")</f>
        <v>,rd_no</v>
      </c>
      <c r="AK19" s="4"/>
      <c r="AL19" s="4"/>
      <c r="AM19" s="4"/>
      <c r="AN19" s="4"/>
      <c r="AO19" s="4"/>
      <c r="AP19" s="4"/>
      <c r="AQ19" s="4"/>
      <c r="AR19" s="4"/>
      <c r="AS19" s="78" t="str">
        <f>"COMMENT ON COLUMN "&amp;エンティティ一覧!$O$2&amp;"."&amp;D$8&amp;"."&amp;D19&amp;" IS '"&amp;C19&amp;"';"</f>
        <v>COMMENT ON COLUMN milscm_2023_010.azn_202310_backup_text_mml_mmlsg_rd_category.rd_no IS '診断履歴情報No';</v>
      </c>
    </row>
    <row r="20" spans="1:52" s="25" customFormat="1">
      <c r="A20" s="4"/>
      <c r="B20" s="21">
        <f t="shared" si="2"/>
        <v>8</v>
      </c>
      <c r="C20" s="6" t="s">
        <v>2852</v>
      </c>
      <c r="D20" s="6" t="s">
        <v>2853</v>
      </c>
      <c r="E20" s="8" t="s">
        <v>127</v>
      </c>
      <c r="F20" s="7" t="s">
        <v>2827</v>
      </c>
      <c r="G20" s="7" t="str">
        <f t="shared" si="3"/>
        <v>integer</v>
      </c>
      <c r="H20" s="26"/>
      <c r="I20" s="10" t="s">
        <v>127</v>
      </c>
      <c r="J20" s="11"/>
      <c r="M20" s="4"/>
      <c r="N20" s="78"/>
      <c r="O20" s="78"/>
      <c r="P20" s="78" t="str">
        <f t="shared" si="4"/>
        <v>,category_no</v>
      </c>
      <c r="Q20" s="78" t="str">
        <f t="shared" si="0"/>
        <v>INTEGER</v>
      </c>
      <c r="R20" s="78" t="str">
        <f t="shared" si="1"/>
        <v/>
      </c>
      <c r="S20" s="78" t="str">
        <f t="shared" si="5"/>
        <v>NOT NULL</v>
      </c>
      <c r="T20" s="78" t="str">
        <f t="shared" si="6"/>
        <v>-- カテゴリ名No</v>
      </c>
      <c r="U20" s="4"/>
      <c r="AA20" s="4"/>
      <c r="AB20" s="4"/>
      <c r="AC20" s="4"/>
      <c r="AD20" s="4"/>
      <c r="AE20" s="4"/>
      <c r="AF20" s="4"/>
      <c r="AG20" s="4"/>
      <c r="AH20" s="4"/>
      <c r="AI20" s="4"/>
      <c r="AJ20" s="78" t="str">
        <f>IF(E20="○",IF(COUNTA(E$13:E20)=1,"",",")&amp;D20,"")</f>
        <v>,category_no</v>
      </c>
      <c r="AK20" s="4"/>
      <c r="AL20" s="4"/>
      <c r="AM20" s="4"/>
      <c r="AN20" s="4"/>
      <c r="AO20" s="4"/>
      <c r="AP20" s="4"/>
      <c r="AQ20" s="4"/>
      <c r="AR20" s="4"/>
      <c r="AS20" s="78" t="str">
        <f>"COMMENT ON COLUMN "&amp;エンティティ一覧!$O$2&amp;"."&amp;D$8&amp;"."&amp;D20&amp;" IS '"&amp;C20&amp;"';"</f>
        <v>COMMENT ON COLUMN milscm_2023_010.azn_202310_backup_text_mml_mmlsg_rd_category.category_no IS 'カテゴリ名No';</v>
      </c>
    </row>
    <row r="21" spans="1:52" s="25" customFormat="1">
      <c r="A21" s="4"/>
      <c r="B21" s="21">
        <f t="shared" si="2"/>
        <v>9</v>
      </c>
      <c r="C21" s="6" t="s">
        <v>1380</v>
      </c>
      <c r="D21" s="6" t="s">
        <v>2854</v>
      </c>
      <c r="E21" s="8"/>
      <c r="F21" s="7" t="s">
        <v>1866</v>
      </c>
      <c r="G21" s="7" t="str">
        <f t="shared" si="3"/>
        <v>text</v>
      </c>
      <c r="H21" s="26"/>
      <c r="I21" s="10"/>
      <c r="J21" s="11"/>
      <c r="M21" s="4"/>
      <c r="N21" s="78"/>
      <c r="O21" s="78"/>
      <c r="P21" s="78" t="str">
        <f t="shared" si="4"/>
        <v>,category</v>
      </c>
      <c r="Q21" s="78" t="str">
        <f t="shared" si="0"/>
        <v>TEXT</v>
      </c>
      <c r="R21" s="78" t="str">
        <f t="shared" si="1"/>
        <v/>
      </c>
      <c r="S21" s="78" t="str">
        <f t="shared" si="5"/>
        <v/>
      </c>
      <c r="T21" s="78" t="str">
        <f t="shared" si="6"/>
        <v>-- 分類名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milscm_2023_010.azn_202310_backup_text_mml_mmlsg_rd_category.category IS '分類名';</v>
      </c>
    </row>
    <row r="22" spans="1:52" s="25" customFormat="1" ht="19.5" thickBot="1">
      <c r="A22" s="4"/>
      <c r="B22" s="27">
        <f>ROW()-12</f>
        <v>10</v>
      </c>
      <c r="C22" s="57" t="s">
        <v>1382</v>
      </c>
      <c r="D22" s="57" t="s">
        <v>2855</v>
      </c>
      <c r="E22" s="56"/>
      <c r="F22" s="56" t="s">
        <v>1866</v>
      </c>
      <c r="G22" s="56" t="str">
        <f t="shared" si="3"/>
        <v>text</v>
      </c>
      <c r="H22" s="59"/>
      <c r="I22" s="60"/>
      <c r="J22" s="64"/>
      <c r="N22" s="78"/>
      <c r="O22" s="78"/>
      <c r="P22" s="78" t="str">
        <f t="shared" si="4"/>
        <v>,table_id</v>
      </c>
      <c r="Q22" s="78" t="str">
        <f t="shared" si="0"/>
        <v>TEXT</v>
      </c>
      <c r="R22" s="78" t="str">
        <f t="shared" si="1"/>
        <v/>
      </c>
      <c r="S22" s="78" t="str">
        <f t="shared" si="5"/>
        <v/>
      </c>
      <c r="T22" s="78" t="str">
        <f t="shared" si="6"/>
        <v>-- 分類コード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milscm_2023_010.azn_202310_backup_text_mml_mmlsg_rd_category.table_id IS '分類コード';</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300-000000000000}"/>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ENT_01_A6-47</v>
      </c>
      <c r="E6" s="239"/>
      <c r="F6" s="239"/>
      <c r="G6" s="239"/>
      <c r="H6" s="239"/>
      <c r="I6" s="239"/>
      <c r="J6" s="240"/>
    </row>
    <row r="7" spans="1:45">
      <c r="B7" s="228" t="s">
        <v>115</v>
      </c>
      <c r="C7" s="229"/>
      <c r="D7" s="230" t="s">
        <v>2965</v>
      </c>
      <c r="E7" s="231"/>
      <c r="F7" s="231"/>
      <c r="G7" s="231"/>
      <c r="H7" s="231"/>
      <c r="I7" s="231"/>
      <c r="J7" s="232"/>
    </row>
    <row r="8" spans="1:45">
      <c r="B8" s="228" t="s">
        <v>116</v>
      </c>
      <c r="C8" s="229"/>
      <c r="D8" s="230" t="str">
        <f>エンティティ一覧!AE2&amp;"_"&amp;D5&amp;"_text_mml_mmlsg_procedure_item"</f>
        <v>azn_202310_backup_text_mml_mmlsg_procedure_item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milscm_2023_010.azn_202310_backup_text_mml_mmlsg_procedure_item;</v>
      </c>
      <c r="O10" s="78"/>
      <c r="P10" s="78"/>
      <c r="Q10" s="78"/>
      <c r="R10" s="78"/>
      <c r="S10" s="78"/>
      <c r="T10" s="78"/>
      <c r="AJ10" s="78" t="str">
        <f>"ALTER TABLE ONLY "&amp;エンティティ一覧!$O$2&amp;"."&amp;D$8</f>
        <v>ALTER TABLE ONLY milscm_2023_010.azn_202310_backup_text_mml_mmlsg_procedure_item</v>
      </c>
      <c r="AS10" s="78" t="str">
        <f>"ALTER TABLE "&amp;エンティティ一覧!$O$2&amp;"."&amp;D$8&amp;" OWNER TO pgmisgrp1;"</f>
        <v>ALTER TABLE milscm_2023_010.azn_202310_backup_text_mml_mmlsg_procedure_item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milscm_2023_010.azn_202310_backup_text_mml_mmlsg_procedure_item</v>
      </c>
      <c r="O11" s="78"/>
      <c r="P11" s="78"/>
      <c r="Q11" s="78"/>
      <c r="R11" s="78"/>
      <c r="S11" s="78"/>
      <c r="T11" s="78"/>
      <c r="AJ11" s="78" t="str">
        <f>"ADD CONSTRAINT "&amp;D$8&amp;"_pkey PRIMARY KEY"</f>
        <v>ADD CONSTRAINT azn_202310_backup_text_mml_mmlsg_procedure_item_pkey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milscm_2023_010.azn_202310_backup_text_mml_mmlsg_procedure_item IS 'バックアップ_MML_手術モジュール_手術法';</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milscm_2023_010.azn_202310_backup_text_mml_mmlsg_procedure_item.zip_no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milscm_2023_010.azn_202310_backup_text_mml_mmlsg_procedure_item.file_no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milscm_2023_010.azn_202310_backup_text_mml_mmlsg_procedure_item.body_no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milscm_2023_010.azn_202310_backup_text_mml_mmlsg_procedure_item.facility_id_mml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milscm_2023_010.azn_202310_backup_text_mml_mmlsg_procedure_item.master_id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milscm_2023_010.azn_202310_backup_text_mml_mmlsg_procedure_item.surgery_item_no IS '手術項目No';</v>
      </c>
    </row>
    <row r="19" spans="1:52" s="25" customFormat="1">
      <c r="A19" s="4"/>
      <c r="B19" s="21">
        <f t="shared" si="2"/>
        <v>7</v>
      </c>
      <c r="C19" s="6" t="s">
        <v>2966</v>
      </c>
      <c r="D19" s="6" t="s">
        <v>2967</v>
      </c>
      <c r="E19" s="8" t="s">
        <v>127</v>
      </c>
      <c r="F19" s="7" t="s">
        <v>2827</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milscm_2023_010.azn_202310_backup_text_mml_mmlsg_procedure_item.procedure_no IS '手術法No';</v>
      </c>
    </row>
    <row r="20" spans="1:52" s="25" customFormat="1">
      <c r="A20" s="4"/>
      <c r="B20" s="21">
        <f t="shared" si="2"/>
        <v>8</v>
      </c>
      <c r="C20" s="6" t="s">
        <v>2968</v>
      </c>
      <c r="D20" s="6" t="s">
        <v>2969</v>
      </c>
      <c r="E20" s="8"/>
      <c r="F20" s="7" t="s">
        <v>1866</v>
      </c>
      <c r="G20" s="7" t="str">
        <f t="shared" si="3"/>
        <v>text</v>
      </c>
      <c r="H20" s="26"/>
      <c r="I20" s="10"/>
      <c r="J20" s="11"/>
      <c r="M20" s="4"/>
      <c r="N20" s="78"/>
      <c r="O20" s="78"/>
      <c r="P20" s="78" t="str">
        <f t="shared" si="4"/>
        <v>,operation</v>
      </c>
      <c r="Q20" s="78" t="str">
        <f t="shared" si="0"/>
        <v>TEXT</v>
      </c>
      <c r="R20" s="78" t="str">
        <f t="shared" si="1"/>
        <v/>
      </c>
      <c r="S20" s="78" t="str">
        <f t="shared" si="5"/>
        <v/>
      </c>
      <c r="T20" s="78" t="str">
        <f t="shared" si="6"/>
        <v>-- 手術法</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milscm_2023_010.azn_202310_backup_text_mml_mmlsg_procedure_item.operation IS '手術法';</v>
      </c>
    </row>
    <row r="21" spans="1:52" s="25" customFormat="1">
      <c r="A21" s="4"/>
      <c r="B21" s="21">
        <f t="shared" si="2"/>
        <v>9</v>
      </c>
      <c r="C21" s="6" t="s">
        <v>2970</v>
      </c>
      <c r="D21" s="6" t="s">
        <v>360</v>
      </c>
      <c r="E21" s="8"/>
      <c r="F21" s="7" t="s">
        <v>1866</v>
      </c>
      <c r="G21" s="7" t="str">
        <f t="shared" ref="G21" si="7">IF(F21="フラグ","boolean",IF(F21="文字列","text",IF(F21="整数","integer",IF(F21="実数","numeric",""))))</f>
        <v>text</v>
      </c>
      <c r="H21" s="26"/>
      <c r="I21" s="10"/>
      <c r="J21" s="11"/>
      <c r="M21" s="4"/>
      <c r="N21" s="78"/>
      <c r="O21" s="78"/>
      <c r="P21" s="78" t="str">
        <f t="shared" ref="P21" si="8">IF(B21&lt;&gt;1,","&amp;D21,D21)</f>
        <v>,code</v>
      </c>
      <c r="Q21" s="78" t="str">
        <f t="shared" ref="Q21" si="9">UPPER(G21)</f>
        <v>TEXT</v>
      </c>
      <c r="R21" s="78" t="str">
        <f t="shared" ref="R21" si="10">IF(H21&lt;&gt;"","default "&amp;IF(G21="text","'"&amp;H21&amp;"'",H21),"")</f>
        <v/>
      </c>
      <c r="S21" s="78" t="str">
        <f t="shared" ref="S21" si="11">IF(I21="○","NOT NULL","")</f>
        <v/>
      </c>
      <c r="T21" s="78" t="str">
        <f t="shared" ref="T21" si="12">"-- "&amp;C21</f>
        <v>-- 手術法コード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milscm_2023_010.azn_202310_backup_text_mml_mmlsg_procedure_item.code IS '手術法コード';</v>
      </c>
    </row>
    <row r="22" spans="1:52" s="25" customFormat="1">
      <c r="A22" s="4"/>
      <c r="B22" s="21">
        <f t="shared" si="2"/>
        <v>10</v>
      </c>
      <c r="C22" s="6" t="s">
        <v>2971</v>
      </c>
      <c r="D22" s="6" t="s">
        <v>2848</v>
      </c>
      <c r="E22" s="8"/>
      <c r="F22" s="7" t="s">
        <v>1866</v>
      </c>
      <c r="G22" s="7" t="str">
        <f t="shared" si="3"/>
        <v>text</v>
      </c>
      <c r="H22" s="26"/>
      <c r="I22" s="10"/>
      <c r="J22" s="11"/>
      <c r="M22" s="4"/>
      <c r="N22" s="78"/>
      <c r="O22" s="78"/>
      <c r="P22" s="78" t="str">
        <f t="shared" si="4"/>
        <v>,system</v>
      </c>
      <c r="Q22" s="78" t="str">
        <f t="shared" si="0"/>
        <v>TEXT</v>
      </c>
      <c r="R22" s="78" t="str">
        <f t="shared" si="1"/>
        <v/>
      </c>
      <c r="S22" s="78" t="str">
        <f t="shared" si="5"/>
        <v/>
      </c>
      <c r="T22" s="78" t="str">
        <f t="shared" si="6"/>
        <v>-- 手術法コード体系名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milscm_2023_010.azn_202310_backup_text_mml_mmlsg_procedure_item.system IS '手術法コード体系名';</v>
      </c>
    </row>
    <row r="23" spans="1:52" s="25" customFormat="1" ht="19.5" thickBot="1">
      <c r="A23" s="4"/>
      <c r="B23" s="27">
        <f>ROW()-12</f>
        <v>11</v>
      </c>
      <c r="C23" s="57" t="s">
        <v>2972</v>
      </c>
      <c r="D23" s="57" t="s">
        <v>2973</v>
      </c>
      <c r="E23" s="56"/>
      <c r="F23" s="56" t="s">
        <v>1866</v>
      </c>
      <c r="G23" s="56" t="str">
        <f t="shared" si="3"/>
        <v>text</v>
      </c>
      <c r="H23" s="59"/>
      <c r="I23" s="60"/>
      <c r="J23" s="64"/>
      <c r="N23" s="78"/>
      <c r="O23" s="78"/>
      <c r="P23" s="78" t="str">
        <f t="shared" si="4"/>
        <v>,procedure_memo</v>
      </c>
      <c r="Q23" s="78" t="str">
        <f t="shared" si="0"/>
        <v>TEXT</v>
      </c>
      <c r="R23" s="78" t="str">
        <f t="shared" si="1"/>
        <v/>
      </c>
      <c r="S23" s="78" t="str">
        <f t="shared" si="5"/>
        <v/>
      </c>
      <c r="T23" s="78" t="str">
        <f t="shared" si="6"/>
        <v>-- 手術法に関する追加事項</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milscm_2023_010.azn_202310_backup_text_mml_mmlsg_procedure_item.procedure_memo IS '手術法に関する追加事項';</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400-000000000000}"/>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AZ2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ENT_01_A6-48</v>
      </c>
      <c r="E6" s="239"/>
      <c r="F6" s="239"/>
      <c r="G6" s="239"/>
      <c r="H6" s="239"/>
      <c r="I6" s="239"/>
      <c r="J6" s="240"/>
    </row>
    <row r="7" spans="1:45">
      <c r="B7" s="228" t="s">
        <v>115</v>
      </c>
      <c r="C7" s="229"/>
      <c r="D7" s="230" t="s">
        <v>2974</v>
      </c>
      <c r="E7" s="231"/>
      <c r="F7" s="231"/>
      <c r="G7" s="231"/>
      <c r="H7" s="231"/>
      <c r="I7" s="231"/>
      <c r="J7" s="232"/>
    </row>
    <row r="8" spans="1:45">
      <c r="B8" s="228" t="s">
        <v>116</v>
      </c>
      <c r="C8" s="229"/>
      <c r="D8" s="230" t="str">
        <f>エンティティ一覧!AE2&amp;"_"&amp;D5&amp;"_text_mml_mmlsg_operation_element"</f>
        <v>azn_202310_backup_text_mml_mmlsg_operation_element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milscm_2023_010.azn_202310_backup_text_mml_mmlsg_operation_element;</v>
      </c>
      <c r="O10" s="78"/>
      <c r="P10" s="78"/>
      <c r="Q10" s="78"/>
      <c r="R10" s="78"/>
      <c r="S10" s="78"/>
      <c r="T10" s="78"/>
      <c r="AJ10" s="78" t="str">
        <f>"ALTER TABLE ONLY "&amp;エンティティ一覧!$O$2&amp;"."&amp;D$8</f>
        <v>ALTER TABLE ONLY milscm_2023_010.azn_202310_backup_text_mml_mmlsg_operation_element</v>
      </c>
      <c r="AS10" s="78" t="str">
        <f>"ALTER TABLE "&amp;エンティティ一覧!$O$2&amp;"."&amp;D$8&amp;" OWNER TO pgmisgrp1;"</f>
        <v>ALTER TABLE milscm_2023_010.azn_202310_backup_text_mml_mmlsg_operation_element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milscm_2023_010.azn_202310_backup_text_mml_mmlsg_operation_element</v>
      </c>
      <c r="O11" s="78"/>
      <c r="P11" s="78"/>
      <c r="Q11" s="78"/>
      <c r="R11" s="78"/>
      <c r="S11" s="78"/>
      <c r="T11" s="78"/>
      <c r="AJ11" s="78" t="str">
        <f>"ADD CONSTRAINT "&amp;D$8&amp;"_pkey PRIMARY KEY"</f>
        <v>ADD CONSTRAINT azn_202310_backup_text_mml_mmlsg_operation_element_pkey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milscm_2023_010.azn_202310_backup_text_mml_mmlsg_operation_element IS 'バックアップ_MML_手術モジュール_手術要素';</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milscm_2023_010.azn_202310_backup_text_mml_mmlsg_operation_element.zip_no IS 'ZipファイルNo';</v>
      </c>
    </row>
    <row r="14" spans="1:45" s="25" customFormat="1">
      <c r="A14" s="4"/>
      <c r="B14" s="21">
        <f t="shared" ref="B14:B22" si="2">ROW()-12</f>
        <v>2</v>
      </c>
      <c r="C14" s="6" t="s">
        <v>2828</v>
      </c>
      <c r="D14" s="6" t="s">
        <v>2829</v>
      </c>
      <c r="E14" s="8" t="s">
        <v>127</v>
      </c>
      <c r="F14" s="7" t="s">
        <v>2827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milscm_2023_010.azn_202310_backup_text_mml_mmlsg_operation_element.file_no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milscm_2023_010.azn_202310_backup_text_mml_mmlsg_operation_element.body_no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milscm_2023_010.azn_202310_backup_text_mml_mmlsg_operation_element.facility_id_mml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milscm_2023_010.azn_202310_backup_text_mml_mmlsg_operation_element.master_id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milscm_2023_010.azn_202310_backup_text_mml_mmlsg_operation_element.surgery_item_no IS '手術項目No';</v>
      </c>
    </row>
    <row r="19" spans="1:52" s="25" customFormat="1">
      <c r="A19" s="4"/>
      <c r="B19" s="21">
        <f t="shared" si="2"/>
        <v>7</v>
      </c>
      <c r="C19" s="6" t="s">
        <v>2966</v>
      </c>
      <c r="D19" s="6" t="s">
        <v>2967</v>
      </c>
      <c r="E19" s="8" t="s">
        <v>127</v>
      </c>
      <c r="F19" s="7" t="s">
        <v>2827</v>
      </c>
      <c r="G19" s="7" t="str">
        <f t="shared" si="3"/>
        <v>integer</v>
      </c>
      <c r="H19" s="26"/>
      <c r="I19" s="10" t="s">
        <v>127</v>
      </c>
      <c r="J19" s="11"/>
      <c r="M19" s="4"/>
      <c r="N19" s="78"/>
      <c r="O19" s="78"/>
      <c r="P19" s="78" t="str">
        <f t="shared" si="4"/>
        <v>,procedure_no</v>
      </c>
      <c r="Q19" s="78" t="str">
        <f t="shared" si="0"/>
        <v>INTEGER</v>
      </c>
      <c r="R19" s="78" t="str">
        <f t="shared" si="1"/>
        <v/>
      </c>
      <c r="S19" s="78" t="str">
        <f t="shared" si="5"/>
        <v>NOT NULL</v>
      </c>
      <c r="T19" s="78" t="str">
        <f t="shared" si="6"/>
        <v>-- 手術法No</v>
      </c>
      <c r="U19" s="4"/>
      <c r="AA19" s="4"/>
      <c r="AB19" s="4"/>
      <c r="AC19" s="4"/>
      <c r="AD19" s="4"/>
      <c r="AE19" s="4"/>
      <c r="AF19" s="4"/>
      <c r="AG19" s="4"/>
      <c r="AH19" s="4"/>
      <c r="AI19" s="4"/>
      <c r="AJ19" s="78" t="str">
        <f>IF(E19="○",IF(COUNTA(E$13:E19)=1,"",",")&amp;D19,"")</f>
        <v>,procedure_no</v>
      </c>
      <c r="AK19" s="4"/>
      <c r="AL19" s="4"/>
      <c r="AM19" s="4"/>
      <c r="AN19" s="4"/>
      <c r="AO19" s="4"/>
      <c r="AP19" s="4"/>
      <c r="AQ19" s="4"/>
      <c r="AR19" s="4"/>
      <c r="AS19" s="78" t="str">
        <f>"COMMENT ON COLUMN "&amp;エンティティ一覧!$O$2&amp;"."&amp;D$8&amp;"."&amp;D19&amp;" IS '"&amp;C19&amp;"';"</f>
        <v>COMMENT ON COLUMN milscm_2023_010.azn_202310_backup_text_mml_mmlsg_operation_element.procedure_no IS '手術法No';</v>
      </c>
    </row>
    <row r="20" spans="1:52" s="25" customFormat="1">
      <c r="A20" s="4"/>
      <c r="B20" s="21">
        <f t="shared" si="2"/>
        <v>8</v>
      </c>
      <c r="C20" s="6" t="s">
        <v>2975</v>
      </c>
      <c r="D20" s="6" t="s">
        <v>2976</v>
      </c>
      <c r="E20" s="8" t="s">
        <v>127</v>
      </c>
      <c r="F20" s="7" t="s">
        <v>2827</v>
      </c>
      <c r="G20" s="7" t="str">
        <f t="shared" si="3"/>
        <v>integer</v>
      </c>
      <c r="H20" s="26"/>
      <c r="I20" s="10" t="s">
        <v>127</v>
      </c>
      <c r="J20" s="11"/>
      <c r="M20" s="4"/>
      <c r="N20" s="78"/>
      <c r="O20" s="78"/>
      <c r="P20" s="78" t="str">
        <f t="shared" si="4"/>
        <v>,operation_element_no</v>
      </c>
      <c r="Q20" s="78" t="str">
        <f t="shared" si="0"/>
        <v>INTEGER</v>
      </c>
      <c r="R20" s="78" t="str">
        <f t="shared" si="1"/>
        <v/>
      </c>
      <c r="S20" s="78" t="str">
        <f t="shared" si="5"/>
        <v>NOT NULL</v>
      </c>
      <c r="T20" s="78" t="str">
        <f t="shared" si="6"/>
        <v>-- 手術要素No</v>
      </c>
      <c r="U20" s="4"/>
      <c r="AA20" s="4"/>
      <c r="AB20" s="4"/>
      <c r="AC20" s="4"/>
      <c r="AD20" s="4"/>
      <c r="AE20" s="4"/>
      <c r="AF20" s="4"/>
      <c r="AG20" s="4"/>
      <c r="AH20" s="4"/>
      <c r="AI20" s="4"/>
      <c r="AJ20" s="78" t="str">
        <f>IF(E20="○",IF(COUNTA(E$13:E20)=1,"",",")&amp;D20,"")</f>
        <v>,operation_element_no</v>
      </c>
      <c r="AK20" s="4"/>
      <c r="AL20" s="4"/>
      <c r="AM20" s="4"/>
      <c r="AN20" s="4"/>
      <c r="AO20" s="4"/>
      <c r="AP20" s="4"/>
      <c r="AQ20" s="4"/>
      <c r="AR20" s="4"/>
      <c r="AS20" s="78" t="str">
        <f>"COMMENT ON COLUMN "&amp;エンティティ一覧!$O$2&amp;"."&amp;D$8&amp;"."&amp;D20&amp;" IS '"&amp;C20&amp;"';"</f>
        <v>COMMENT ON COLUMN milscm_2023_010.azn_202310_backup_text_mml_mmlsg_operation_element.operation_element_no IS '手術要素No';</v>
      </c>
    </row>
    <row r="21" spans="1:52" s="25" customFormat="1">
      <c r="A21" s="4"/>
      <c r="B21" s="21">
        <f t="shared" si="2"/>
        <v>9</v>
      </c>
      <c r="C21" s="6" t="s">
        <v>2977</v>
      </c>
      <c r="D21" s="6" t="s">
        <v>2969</v>
      </c>
      <c r="E21" s="8"/>
      <c r="F21" s="7" t="s">
        <v>1866</v>
      </c>
      <c r="G21" s="7" t="str">
        <f t="shared" si="3"/>
        <v>text</v>
      </c>
      <c r="H21" s="26"/>
      <c r="I21" s="10"/>
      <c r="J21" s="11"/>
      <c r="M21" s="4"/>
      <c r="N21" s="78"/>
      <c r="O21" s="78"/>
      <c r="P21" s="78" t="str">
        <f t="shared" si="4"/>
        <v>,operation</v>
      </c>
      <c r="Q21" s="78" t="str">
        <f t="shared" si="0"/>
        <v>TEXT</v>
      </c>
      <c r="R21" s="78" t="str">
        <f t="shared" si="1"/>
        <v/>
      </c>
      <c r="S21" s="78" t="str">
        <f t="shared" si="5"/>
        <v/>
      </c>
      <c r="T21" s="78" t="str">
        <f t="shared" si="6"/>
        <v>-- 分割された手術要素名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milscm_2023_010.azn_202310_backup_text_mml_mmlsg_operation_element.operation IS '分割された手術要素名';</v>
      </c>
    </row>
    <row r="22" spans="1:52" s="25" customFormat="1">
      <c r="A22" s="4"/>
      <c r="B22" s="21">
        <f t="shared" si="2"/>
        <v>10</v>
      </c>
      <c r="C22" s="6" t="s">
        <v>2970</v>
      </c>
      <c r="D22" s="6" t="s">
        <v>360</v>
      </c>
      <c r="E22" s="8"/>
      <c r="F22" s="7" t="s">
        <v>1866</v>
      </c>
      <c r="G22" s="7" t="str">
        <f t="shared" si="3"/>
        <v>text</v>
      </c>
      <c r="H22" s="26"/>
      <c r="I22" s="10"/>
      <c r="J22" s="11"/>
      <c r="M22" s="4"/>
      <c r="N22" s="78"/>
      <c r="O22" s="78"/>
      <c r="P22" s="78" t="str">
        <f t="shared" si="4"/>
        <v>,code</v>
      </c>
      <c r="Q22" s="78" t="str">
        <f t="shared" si="0"/>
        <v>TEXT</v>
      </c>
      <c r="R22" s="78" t="str">
        <f t="shared" si="1"/>
        <v/>
      </c>
      <c r="S22" s="78" t="str">
        <f t="shared" si="5"/>
        <v/>
      </c>
      <c r="T22" s="78" t="str">
        <f t="shared" si="6"/>
        <v>-- 手術法コード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milscm_2023_010.azn_202310_backup_text_mml_mmlsg_operation_element.code IS '手術法コード';</v>
      </c>
    </row>
    <row r="23" spans="1:52" s="25" customFormat="1" ht="19.5" thickBot="1">
      <c r="A23" s="4"/>
      <c r="B23" s="27">
        <f>ROW()-12</f>
        <v>11</v>
      </c>
      <c r="C23" s="57" t="s">
        <v>2971</v>
      </c>
      <c r="D23" s="57" t="s">
        <v>2848</v>
      </c>
      <c r="E23" s="56"/>
      <c r="F23" s="56" t="s">
        <v>1866</v>
      </c>
      <c r="G23" s="56" t="str">
        <f t="shared" si="3"/>
        <v>text</v>
      </c>
      <c r="H23" s="59"/>
      <c r="I23" s="60"/>
      <c r="J23" s="64"/>
      <c r="N23" s="78"/>
      <c r="O23" s="78"/>
      <c r="P23" s="78" t="str">
        <f t="shared" si="4"/>
        <v>,system</v>
      </c>
      <c r="Q23" s="78" t="str">
        <f t="shared" si="0"/>
        <v>TEXT</v>
      </c>
      <c r="R23" s="78" t="str">
        <f t="shared" si="1"/>
        <v/>
      </c>
      <c r="S23" s="78" t="str">
        <f t="shared" si="5"/>
        <v/>
      </c>
      <c r="T23" s="78" t="str">
        <f t="shared" si="6"/>
        <v>-- 手術法コード体系名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milscm_2023_010.azn_202310_backup_text_mml_mmlsg_operation_element.system IS '手術法コード体系名';</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500-000000000000}"/>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ENT_01_A6-49</v>
      </c>
      <c r="E6" s="239"/>
      <c r="F6" s="239"/>
      <c r="G6" s="239"/>
      <c r="H6" s="239"/>
      <c r="I6" s="239"/>
      <c r="J6" s="240"/>
    </row>
    <row r="7" spans="1:45">
      <c r="B7" s="228" t="s">
        <v>115</v>
      </c>
      <c r="C7" s="229"/>
      <c r="D7" s="230" t="s">
        <v>2978</v>
      </c>
      <c r="E7" s="231"/>
      <c r="F7" s="231"/>
      <c r="G7" s="231"/>
      <c r="H7" s="231"/>
      <c r="I7" s="231"/>
      <c r="J7" s="232"/>
    </row>
    <row r="8" spans="1:45">
      <c r="B8" s="228" t="s">
        <v>116</v>
      </c>
      <c r="C8" s="229"/>
      <c r="D8" s="230" t="str">
        <f>エンティティ一覧!AE2&amp;"_"&amp;D5&amp;"_text_mml_mmlsg_anesthesia_procedure"</f>
        <v>azn_202310_backup_text_mml_mmlsg_anesthesia_procedure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milscm_2023_010.azn_202310_backup_text_mml_mmlsg_anesthesia_procedure;</v>
      </c>
      <c r="O10" s="78"/>
      <c r="P10" s="78"/>
      <c r="Q10" s="78"/>
      <c r="R10" s="78"/>
      <c r="S10" s="78"/>
      <c r="T10" s="78"/>
      <c r="AJ10" s="78" t="str">
        <f>"ALTER TABLE ONLY "&amp;エンティティ一覧!$O$2&amp;"."&amp;D$8</f>
        <v>ALTER TABLE ONLY milscm_2023_010.azn_202310_backup_text_mml_mmlsg_anesthesia_procedure</v>
      </c>
      <c r="AS10" s="78" t="str">
        <f>"ALTER TABLE "&amp;エンティティ一覧!$O$2&amp;"."&amp;D$8&amp;" OWNER TO pgmisgrp1;"</f>
        <v>ALTER TABLE milscm_2023_010.azn_202310_backup_text_mml_mmlsg_anesthesia_procedure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milscm_2023_010.azn_202310_backup_text_mml_mmlsg_anesthesia_procedure</v>
      </c>
      <c r="O11" s="78"/>
      <c r="P11" s="78"/>
      <c r="Q11" s="78"/>
      <c r="R11" s="78"/>
      <c r="S11" s="78"/>
      <c r="T11" s="78"/>
      <c r="AJ11" s="78" t="str">
        <f>"ADD CONSTRAINT "&amp;D$8&amp;"_pkey PRIMARY KEY"</f>
        <v>ADD CONSTRAINT azn_202310_backup_text_mml_mmlsg_anesthesia_procedure_pkey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milscm_2023_010.azn_202310_backup_text_mml_mmlsg_anesthesia_procedure IS 'バックアップ_MML_手術モジュール_麻酔法';</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milscm_2023_010.azn_202310_backup_text_mml_mmlsg_anesthesia_procedure.zip_no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milscm_2023_010.azn_202310_backup_text_mml_mmlsg_anesthesia_procedure.file_no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milscm_2023_010.azn_202310_backup_text_mml_mmlsg_anesthesia_procedure.body_no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milscm_2023_010.azn_202310_backup_text_mml_mmlsg_anesthesia_procedure.facility_id_mml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milscm_2023_010.azn_202310_backup_text_mml_mmlsg_anesthesia_procedure.master_id IS '患者ID';</v>
      </c>
    </row>
    <row r="18" spans="1:52" s="25" customFormat="1">
      <c r="A18" s="4"/>
      <c r="B18" s="21">
        <f t="shared" si="2"/>
        <v>6</v>
      </c>
      <c r="C18" s="6" t="s">
        <v>2917</v>
      </c>
      <c r="D18" s="6" t="s">
        <v>2918</v>
      </c>
      <c r="E18" s="8" t="s">
        <v>127</v>
      </c>
      <c r="F18" s="7" t="s">
        <v>2827</v>
      </c>
      <c r="G18" s="7" t="str">
        <f t="shared" si="3"/>
        <v>integer</v>
      </c>
      <c r="H18" s="26"/>
      <c r="I18" s="10" t="s">
        <v>127</v>
      </c>
      <c r="J18" s="11"/>
      <c r="M18" s="4"/>
      <c r="N18" s="78"/>
      <c r="O18" s="78"/>
      <c r="P18" s="78" t="str">
        <f t="shared" si="4"/>
        <v>,surgery_item_no</v>
      </c>
      <c r="Q18" s="78" t="str">
        <f t="shared" si="0"/>
        <v>INTEGER</v>
      </c>
      <c r="R18" s="78" t="str">
        <f t="shared" si="1"/>
        <v/>
      </c>
      <c r="S18" s="78" t="str">
        <f t="shared" si="5"/>
        <v>NOT NULL</v>
      </c>
      <c r="T18" s="78" t="str">
        <f t="shared" si="6"/>
        <v>-- 手術項目No</v>
      </c>
      <c r="U18" s="4"/>
      <c r="AA18" s="4"/>
      <c r="AB18" s="4"/>
      <c r="AC18" s="4"/>
      <c r="AD18" s="4"/>
      <c r="AE18" s="4"/>
      <c r="AF18" s="4"/>
      <c r="AG18" s="4"/>
      <c r="AH18" s="4"/>
      <c r="AI18" s="4"/>
      <c r="AJ18" s="78" t="str">
        <f>IF(E18="○",IF(COUNTA(E$13:E18)=1,"",",")&amp;D18,"")</f>
        <v>,surgery_item_no</v>
      </c>
      <c r="AK18" s="4"/>
      <c r="AL18" s="4"/>
      <c r="AM18" s="4"/>
      <c r="AN18" s="4"/>
      <c r="AO18" s="4"/>
      <c r="AP18" s="4"/>
      <c r="AQ18" s="4"/>
      <c r="AR18" s="4"/>
      <c r="AS18" s="78" t="str">
        <f>"COMMENT ON COLUMN "&amp;エンティティ一覧!$O$2&amp;"."&amp;D$8&amp;"."&amp;D18&amp;" IS '"&amp;C18&amp;"';"</f>
        <v>COMMENT ON COLUMN milscm_2023_010.azn_202310_backup_text_mml_mmlsg_anesthesia_procedure.surgery_item_no IS '手術項目No';</v>
      </c>
    </row>
    <row r="19" spans="1:52" s="25" customFormat="1">
      <c r="A19" s="4"/>
      <c r="B19" s="21">
        <f t="shared" si="2"/>
        <v>7</v>
      </c>
      <c r="C19" s="6" t="s">
        <v>2979</v>
      </c>
      <c r="D19" s="6" t="s">
        <v>2980</v>
      </c>
      <c r="E19" s="8" t="s">
        <v>127</v>
      </c>
      <c r="F19" s="7" t="s">
        <v>2827</v>
      </c>
      <c r="G19" s="7" t="str">
        <f t="shared" si="3"/>
        <v>integer</v>
      </c>
      <c r="H19" s="26"/>
      <c r="I19" s="10" t="s">
        <v>127</v>
      </c>
      <c r="J19" s="11"/>
      <c r="M19" s="4"/>
      <c r="N19" s="78"/>
      <c r="O19" s="78"/>
      <c r="P19" s="78" t="str">
        <f t="shared" si="4"/>
        <v>,anesthesia_no</v>
      </c>
      <c r="Q19" s="78" t="str">
        <f t="shared" si="0"/>
        <v>INTEGER</v>
      </c>
      <c r="R19" s="78" t="str">
        <f t="shared" si="1"/>
        <v/>
      </c>
      <c r="S19" s="78" t="str">
        <f t="shared" si="5"/>
        <v>NOT NULL</v>
      </c>
      <c r="T19" s="78" t="str">
        <f t="shared" si="6"/>
        <v>-- 麻酔法No</v>
      </c>
      <c r="U19" s="4"/>
      <c r="AA19" s="4"/>
      <c r="AB19" s="4"/>
      <c r="AC19" s="4"/>
      <c r="AD19" s="4"/>
      <c r="AE19" s="4"/>
      <c r="AF19" s="4"/>
      <c r="AG19" s="4"/>
      <c r="AH19" s="4"/>
      <c r="AI19" s="4"/>
      <c r="AJ19" s="78" t="str">
        <f>IF(E19="○",IF(COUNTA(E$13:E19)=1,"",",")&amp;D19,"")</f>
        <v>,anesthesia_no</v>
      </c>
      <c r="AK19" s="4"/>
      <c r="AL19" s="4"/>
      <c r="AM19" s="4"/>
      <c r="AN19" s="4"/>
      <c r="AO19" s="4"/>
      <c r="AP19" s="4"/>
      <c r="AQ19" s="4"/>
      <c r="AR19" s="4"/>
      <c r="AS19" s="78" t="str">
        <f>"COMMENT ON COLUMN "&amp;エンティティ一覧!$O$2&amp;"."&amp;D$8&amp;"."&amp;D19&amp;" IS '"&amp;C19&amp;"';"</f>
        <v>COMMENT ON COLUMN milscm_2023_010.azn_202310_backup_text_mml_mmlsg_anesthesia_procedure.anesthesia_no IS '麻酔法No';</v>
      </c>
    </row>
    <row r="20" spans="1:52" s="25" customFormat="1">
      <c r="A20" s="4"/>
      <c r="B20" s="21">
        <f t="shared" si="2"/>
        <v>8</v>
      </c>
      <c r="C20" s="6" t="s">
        <v>2981</v>
      </c>
      <c r="D20" s="6" t="s">
        <v>2982</v>
      </c>
      <c r="E20" s="8"/>
      <c r="F20" s="7" t="s">
        <v>1866</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麻酔法名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milscm_2023_010.azn_202310_backup_text_mml_mmlsg_anesthesia_procedure.title IS '麻酔法名';</v>
      </c>
    </row>
    <row r="21" spans="1:52" s="25" customFormat="1">
      <c r="A21" s="4"/>
      <c r="B21" s="21">
        <f t="shared" si="2"/>
        <v>9</v>
      </c>
      <c r="C21" s="6" t="s">
        <v>2983</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麻酔法名コード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milscm_2023_010.azn_202310_backup_text_mml_mmlsg_anesthesia_procedure.code IS '麻酔法名コード';</v>
      </c>
    </row>
    <row r="22" spans="1:52" s="25" customFormat="1" ht="19.5" thickBot="1">
      <c r="A22" s="4"/>
      <c r="B22" s="27">
        <f>ROW()-12</f>
        <v>10</v>
      </c>
      <c r="C22" s="57" t="s">
        <v>2984</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麻酔法名コード体系名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milscm_2023_010.azn_202310_backup_text_mml_mmlsg_anesthesia_procedure.system IS '麻酔法名コード体系名';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600-000000000000}"/>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ENT_01_A6-50</v>
      </c>
      <c r="E6" s="239"/>
      <c r="F6" s="239"/>
      <c r="G6" s="239"/>
      <c r="H6" s="239"/>
      <c r="I6" s="239"/>
      <c r="J6" s="240"/>
    </row>
    <row r="7" spans="1:45">
      <c r="B7" s="228" t="s">
        <v>115</v>
      </c>
      <c r="C7" s="229"/>
      <c r="D7" s="230" t="s">
        <v>2985</v>
      </c>
      <c r="E7" s="231"/>
      <c r="F7" s="231"/>
      <c r="G7" s="231"/>
      <c r="H7" s="231"/>
      <c r="I7" s="231"/>
      <c r="J7" s="232"/>
    </row>
    <row r="8" spans="1:45">
      <c r="B8" s="228" t="s">
        <v>116</v>
      </c>
      <c r="C8" s="229"/>
      <c r="D8" s="230" t="str">
        <f>エンティティ一覧!AE2&amp;"_"&amp;D5&amp;"_text_mml_mmlrp_body"</f>
        <v>azn_202310_backup_text_mml_mmlrp_body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milscm_2023_010.azn_202310_backup_text_mml_mmlrp_body;</v>
      </c>
      <c r="O10" s="78"/>
      <c r="P10" s="78"/>
      <c r="Q10" s="78"/>
      <c r="R10" s="78"/>
      <c r="S10" s="78"/>
      <c r="T10" s="78"/>
      <c r="AJ10" s="78" t="str">
        <f>"ALTER TABLE ONLY "&amp;エンティティ一覧!$O$2&amp;"."&amp;D$8</f>
        <v>ALTER TABLE ONLY milscm_2023_010.azn_202310_backup_text_mml_mmlrp_body</v>
      </c>
      <c r="AS10" s="78" t="str">
        <f>"ALTER TABLE "&amp;エンティティ一覧!$O$2&amp;"."&amp;D$8&amp;" OWNER TO pgmisgrp1;"</f>
        <v>ALTER TABLE milscm_2023_010.azn_202310_backup_text_mml_mmlrp_body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milscm_2023_010.azn_202310_backup_text_mml_mmlrp_body</v>
      </c>
      <c r="O11" s="78"/>
      <c r="P11" s="78"/>
      <c r="Q11" s="78"/>
      <c r="R11" s="78"/>
      <c r="S11" s="78"/>
      <c r="T11" s="78"/>
      <c r="AJ11" s="78" t="str">
        <f>"ADD CONSTRAINT "&amp;D$8&amp;"_pkey PRIMARY KEY"</f>
        <v>ADD CONSTRAINT azn_202310_backup_text_mml_mmlrp_body_pkey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milscm_2023_010.azn_202310_backup_text_mml_mmlrp_body IS 'バックアップ_MML_報告書情報モジュール_本文';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52" si="0">UPPER(G13)</f>
        <v>INTEGER</v>
      </c>
      <c r="R13" s="78" t="str">
        <f t="shared" ref="R13:R5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milscm_2023_010.azn_202310_backup_text_mml_mmlrp_body.zip_no IS 'ZipファイルNo';</v>
      </c>
    </row>
    <row r="14" spans="1:45" s="25" customFormat="1">
      <c r="A14" s="4"/>
      <c r="B14" s="21">
        <f t="shared" ref="B14:B51" si="2">ROW()-12</f>
        <v>2</v>
      </c>
      <c r="C14" s="6" t="s">
        <v>2828</v>
      </c>
      <c r="D14" s="6" t="s">
        <v>2829</v>
      </c>
      <c r="E14" s="8" t="s">
        <v>127</v>
      </c>
      <c r="F14" s="7" t="s">
        <v>2827</v>
      </c>
      <c r="G14" s="7" t="str">
        <f t="shared" ref="G14:G52" si="3">IF(F14="フラグ","boolean",IF(F14="文字列","text",IF(F14="整数","integer",IF(F14="実数","numeric",""))))</f>
        <v>integer</v>
      </c>
      <c r="H14" s="26"/>
      <c r="I14" s="10" t="s">
        <v>127</v>
      </c>
      <c r="J14" s="11"/>
      <c r="M14" s="4"/>
      <c r="N14" s="78"/>
      <c r="O14" s="78"/>
      <c r="P14" s="78" t="str">
        <f t="shared" ref="P14:P52" si="4">IF(B14&lt;&gt;1,","&amp;D14,D14)</f>
        <v>,file_no</v>
      </c>
      <c r="Q14" s="78" t="str">
        <f t="shared" si="0"/>
        <v>INTEGER</v>
      </c>
      <c r="R14" s="78" t="str">
        <f t="shared" si="1"/>
        <v/>
      </c>
      <c r="S14" s="78" t="str">
        <f t="shared" ref="S14:S52" si="5">IF(I14="○","NOT NULL","")</f>
        <v>NOT NULL</v>
      </c>
      <c r="T14" s="78" t="str">
        <f t="shared" ref="T14:T5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milscm_2023_010.azn_202310_backup_text_mml_mmlrp_body.file_no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milscm_2023_010.azn_202310_backup_text_mml_mmlrp_body.body_no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milscm_2023_010.azn_202310_backup_text_mml_mmlrp_body.facility_id_mml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milscm_2023_010.azn_202310_backup_text_mml_mmlrp_body.master_id IS '患者ID';</v>
      </c>
    </row>
    <row r="18" spans="1:45" s="25" customFormat="1">
      <c r="A18" s="4"/>
      <c r="B18" s="21">
        <f t="shared" si="2"/>
        <v>6</v>
      </c>
      <c r="C18" s="6" t="s">
        <v>2986</v>
      </c>
      <c r="D18" s="6" t="s">
        <v>2987</v>
      </c>
      <c r="E18" s="8"/>
      <c r="F18" s="7" t="s">
        <v>1866</v>
      </c>
      <c r="G18" s="7" t="str">
        <f t="shared" si="3"/>
        <v>text</v>
      </c>
      <c r="H18" s="26"/>
      <c r="I18" s="10"/>
      <c r="J18" s="11" t="s">
        <v>2839</v>
      </c>
      <c r="M18" s="4"/>
      <c r="N18" s="78"/>
      <c r="O18" s="78"/>
      <c r="P18" s="78" t="str">
        <f t="shared" si="4"/>
        <v>,perform_time</v>
      </c>
      <c r="Q18" s="78" t="str">
        <f t="shared" si="0"/>
        <v>TEXT</v>
      </c>
      <c r="R18" s="78" t="str">
        <f t="shared" si="1"/>
        <v/>
      </c>
      <c r="S18" s="78" t="str">
        <f t="shared" si="5"/>
        <v/>
      </c>
      <c r="T18" s="78" t="str">
        <f t="shared" si="6"/>
        <v>-- 検査実施日時</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milscm_2023_010.azn_202310_backup_text_mml_mmlrp_body.perform_time IS '検査実施日時';</v>
      </c>
    </row>
    <row r="19" spans="1:45" s="25" customFormat="1">
      <c r="A19" s="4"/>
      <c r="B19" s="21">
        <f t="shared" si="2"/>
        <v>7</v>
      </c>
      <c r="C19" s="6" t="s">
        <v>1597</v>
      </c>
      <c r="D19" s="6" t="s">
        <v>1598</v>
      </c>
      <c r="E19" s="8"/>
      <c r="F19" s="7" t="s">
        <v>1866</v>
      </c>
      <c r="G19" s="7" t="str">
        <f t="shared" si="3"/>
        <v>text</v>
      </c>
      <c r="H19" s="26"/>
      <c r="I19" s="10"/>
      <c r="J19" s="11" t="s">
        <v>2839</v>
      </c>
      <c r="M19" s="4"/>
      <c r="N19" s="78"/>
      <c r="O19" s="78"/>
      <c r="P19" s="78" t="str">
        <f t="shared" si="4"/>
        <v>,report_time</v>
      </c>
      <c r="Q19" s="78" t="str">
        <f t="shared" si="0"/>
        <v>TEXT</v>
      </c>
      <c r="R19" s="78" t="str">
        <f t="shared" si="1"/>
        <v/>
      </c>
      <c r="S19" s="78" t="str">
        <f t="shared" si="5"/>
        <v/>
      </c>
      <c r="T19" s="78" t="str">
        <f t="shared" si="6"/>
        <v>-- 報告日時</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milscm_2023_010.azn_202310_backup_text_mml_mmlrp_body.report_time IS '報告日時';</v>
      </c>
    </row>
    <row r="20" spans="1:45" s="25" customFormat="1">
      <c r="A20" s="4"/>
      <c r="B20" s="21">
        <f t="shared" si="2"/>
        <v>8</v>
      </c>
      <c r="C20" s="6" t="s">
        <v>1599</v>
      </c>
      <c r="D20" s="6" t="s">
        <v>2988</v>
      </c>
      <c r="E20" s="8"/>
      <c r="F20" s="7" t="s">
        <v>1866</v>
      </c>
      <c r="G20" s="7" t="str">
        <f t="shared" si="3"/>
        <v>text</v>
      </c>
      <c r="H20" s="26"/>
      <c r="I20" s="10"/>
      <c r="J20" s="11"/>
      <c r="M20" s="4"/>
      <c r="N20" s="78"/>
      <c r="O20" s="78"/>
      <c r="P20" s="78" t="str">
        <f t="shared" si="4"/>
        <v>,report_status</v>
      </c>
      <c r="Q20" s="78" t="str">
        <f t="shared" si="0"/>
        <v>TEXT</v>
      </c>
      <c r="R20" s="78" t="str">
        <f t="shared" si="1"/>
        <v/>
      </c>
      <c r="S20" s="78" t="str">
        <f t="shared" si="5"/>
        <v/>
      </c>
      <c r="T20" s="78" t="str">
        <f t="shared" si="6"/>
        <v>-- 報告状態</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milscm_2023_010.azn_202310_backup_text_mml_mmlrp_body.report_status IS '報告状態';</v>
      </c>
    </row>
    <row r="21" spans="1:45" s="25" customFormat="1">
      <c r="A21" s="4"/>
      <c r="B21" s="21">
        <f t="shared" si="2"/>
        <v>9</v>
      </c>
      <c r="C21" s="6" t="s">
        <v>1601</v>
      </c>
      <c r="D21" s="6" t="s">
        <v>2989</v>
      </c>
      <c r="E21" s="8"/>
      <c r="F21" s="7" t="s">
        <v>1866</v>
      </c>
      <c r="G21" s="7" t="str">
        <f t="shared" ref="G21:G50" si="7">IF(F21="フラグ","boolean",IF(F21="文字列","text",IF(F21="整数","integer",IF(F21="実数","numeric",""))))</f>
        <v>text</v>
      </c>
      <c r="H21" s="26"/>
      <c r="I21" s="10"/>
      <c r="J21" s="11"/>
      <c r="M21" s="4"/>
      <c r="N21" s="78"/>
      <c r="O21" s="78"/>
      <c r="P21" s="78" t="str">
        <f t="shared" ref="P21:P50" si="8">IF(B21&lt;&gt;1,","&amp;D21,D21)</f>
        <v>,report_status_code</v>
      </c>
      <c r="Q21" s="78" t="str">
        <f t="shared" ref="Q21:Q50" si="9">UPPER(G21)</f>
        <v>TEXT</v>
      </c>
      <c r="R21" s="78" t="str">
        <f t="shared" ref="R21:R50" si="10">IF(H21&lt;&gt;"","default "&amp;IF(G21="text","'"&amp;H21&amp;"'",H21),"")</f>
        <v/>
      </c>
      <c r="S21" s="78" t="str">
        <f t="shared" ref="S21:S50" si="11">IF(I21="○","NOT NULL","")</f>
        <v/>
      </c>
      <c r="T21" s="78" t="str">
        <f t="shared" ref="T21:T50" si="12">"-- "&amp;C21</f>
        <v>-- 報告状態コード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milscm_2023_010.azn_202310_backup_text_mml_mmlrp_body.report_status_code IS '報告状態コード';</v>
      </c>
    </row>
    <row r="22" spans="1:45" s="25" customFormat="1">
      <c r="A22" s="4"/>
      <c r="B22" s="21">
        <f t="shared" si="2"/>
        <v>10</v>
      </c>
      <c r="C22" s="6" t="s">
        <v>2990</v>
      </c>
      <c r="D22" s="6" t="s">
        <v>2991</v>
      </c>
      <c r="E22" s="8"/>
      <c r="F22" s="7" t="s">
        <v>1866</v>
      </c>
      <c r="G22" s="7" t="str">
        <f t="shared" si="7"/>
        <v>text</v>
      </c>
      <c r="H22" s="26"/>
      <c r="I22" s="10"/>
      <c r="J22" s="11"/>
      <c r="M22" s="4"/>
      <c r="N22" s="78"/>
      <c r="O22" s="78"/>
      <c r="P22" s="78" t="str">
        <f t="shared" si="8"/>
        <v>,report_status_code_id</v>
      </c>
      <c r="Q22" s="78" t="str">
        <f t="shared" si="9"/>
        <v>TEXT</v>
      </c>
      <c r="R22" s="78" t="str">
        <f t="shared" si="10"/>
        <v/>
      </c>
      <c r="S22" s="78" t="str">
        <f t="shared" si="11"/>
        <v/>
      </c>
      <c r="T22" s="78" t="str">
        <f t="shared" si="12"/>
        <v>-- 報告状態コードID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milscm_2023_010.azn_202310_backup_text_mml_mmlrp_body.report_status_code_id IS '報告状態コードID';</v>
      </c>
    </row>
    <row r="23" spans="1:45" s="25" customFormat="1">
      <c r="A23" s="4"/>
      <c r="B23" s="21">
        <f t="shared" si="2"/>
        <v>11</v>
      </c>
      <c r="C23" s="6" t="s">
        <v>2992</v>
      </c>
      <c r="D23" s="6" t="s">
        <v>2993</v>
      </c>
      <c r="E23" s="8"/>
      <c r="F23" s="7" t="s">
        <v>1866</v>
      </c>
      <c r="G23" s="7" t="str">
        <f t="shared" si="7"/>
        <v>text</v>
      </c>
      <c r="H23" s="26"/>
      <c r="I23" s="10"/>
      <c r="J23" s="11"/>
      <c r="M23" s="4"/>
      <c r="N23" s="78"/>
      <c r="O23" s="78"/>
      <c r="P23" s="78" t="str">
        <f t="shared" si="8"/>
        <v>,test_class</v>
      </c>
      <c r="Q23" s="78" t="str">
        <f t="shared" si="9"/>
        <v>TEXT</v>
      </c>
      <c r="R23" s="78" t="str">
        <f t="shared" si="10"/>
        <v/>
      </c>
      <c r="S23" s="78" t="str">
        <f t="shared" si="11"/>
        <v/>
      </c>
      <c r="T23" s="78" t="str">
        <f t="shared" si="12"/>
        <v>-- 報告書種別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milscm_2023_010.azn_202310_backup_text_mml_mmlrp_body.test_class IS '報告書種別';</v>
      </c>
    </row>
    <row r="24" spans="1:45" s="25" customFormat="1">
      <c r="A24" s="4"/>
      <c r="B24" s="21">
        <f t="shared" si="2"/>
        <v>12</v>
      </c>
      <c r="C24" s="6" t="s">
        <v>2994</v>
      </c>
      <c r="D24" s="6" t="s">
        <v>2995</v>
      </c>
      <c r="E24" s="8"/>
      <c r="F24" s="7" t="s">
        <v>1866</v>
      </c>
      <c r="G24" s="7" t="str">
        <f t="shared" si="7"/>
        <v>text</v>
      </c>
      <c r="H24" s="26"/>
      <c r="I24" s="10"/>
      <c r="J24" s="11"/>
      <c r="M24" s="4"/>
      <c r="N24" s="78"/>
      <c r="O24" s="78"/>
      <c r="P24" s="78" t="str">
        <f t="shared" si="8"/>
        <v>,test_class_code</v>
      </c>
      <c r="Q24" s="78" t="str">
        <f t="shared" si="9"/>
        <v>TEXT</v>
      </c>
      <c r="R24" s="78" t="str">
        <f t="shared" si="10"/>
        <v/>
      </c>
      <c r="S24" s="78" t="str">
        <f t="shared" si="11"/>
        <v/>
      </c>
      <c r="T24" s="78" t="str">
        <f t="shared" si="12"/>
        <v>-- 報告書種別コード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milscm_2023_010.azn_202310_backup_text_mml_mmlrp_body.test_class_code IS '報告書種別コード';</v>
      </c>
    </row>
    <row r="25" spans="1:45" s="25" customFormat="1">
      <c r="A25" s="4"/>
      <c r="B25" s="21">
        <f t="shared" si="2"/>
        <v>13</v>
      </c>
      <c r="C25" s="6" t="s">
        <v>2996</v>
      </c>
      <c r="D25" s="6" t="s">
        <v>2997</v>
      </c>
      <c r="E25" s="8"/>
      <c r="F25" s="7" t="s">
        <v>1866</v>
      </c>
      <c r="G25" s="7" t="str">
        <f t="shared" si="7"/>
        <v>text</v>
      </c>
      <c r="H25" s="26"/>
      <c r="I25" s="10"/>
      <c r="J25" s="11"/>
      <c r="M25" s="4"/>
      <c r="N25" s="78"/>
      <c r="O25" s="78"/>
      <c r="P25" s="78" t="str">
        <f t="shared" si="8"/>
        <v>,test_class_code_id</v>
      </c>
      <c r="Q25" s="78" t="str">
        <f t="shared" si="9"/>
        <v>TEXT</v>
      </c>
      <c r="R25" s="78" t="str">
        <f t="shared" si="10"/>
        <v/>
      </c>
      <c r="S25" s="78" t="str">
        <f t="shared" si="11"/>
        <v/>
      </c>
      <c r="T25" s="78" t="str">
        <f t="shared" si="12"/>
        <v>-- 報告書種別コードID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milscm_2023_010.azn_202310_backup_text_mml_mmlrp_body.test_class_code_id IS '報告書種別コードID';</v>
      </c>
    </row>
    <row r="26" spans="1:45" s="25" customFormat="1">
      <c r="A26" s="4"/>
      <c r="B26" s="21">
        <f t="shared" si="2"/>
        <v>14</v>
      </c>
      <c r="C26" s="6" t="s">
        <v>2998</v>
      </c>
      <c r="D26" s="6" t="s">
        <v>2999</v>
      </c>
      <c r="E26" s="8"/>
      <c r="F26" s="7" t="s">
        <v>1866</v>
      </c>
      <c r="G26" s="7" t="str">
        <f t="shared" si="7"/>
        <v>text</v>
      </c>
      <c r="H26" s="26"/>
      <c r="I26" s="10"/>
      <c r="J26" s="11"/>
      <c r="M26" s="4"/>
      <c r="N26" s="78"/>
      <c r="O26" s="78"/>
      <c r="P26" s="78" t="str">
        <f t="shared" si="8"/>
        <v>,test_sub_class</v>
      </c>
      <c r="Q26" s="78" t="str">
        <f t="shared" si="9"/>
        <v>TEXT</v>
      </c>
      <c r="R26" s="78" t="str">
        <f t="shared" si="10"/>
        <v/>
      </c>
      <c r="S26" s="78" t="str">
        <f t="shared" si="11"/>
        <v/>
      </c>
      <c r="T26" s="78" t="str">
        <f t="shared" si="12"/>
        <v>-- 報告書詳細種別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milscm_2023_010.azn_202310_backup_text_mml_mmlrp_body.test_sub_class IS '報告書詳細種別';</v>
      </c>
    </row>
    <row r="27" spans="1:45" s="25" customFormat="1">
      <c r="A27" s="4"/>
      <c r="B27" s="21">
        <f t="shared" si="2"/>
        <v>15</v>
      </c>
      <c r="C27" s="6" t="s">
        <v>3000</v>
      </c>
      <c r="D27" s="6" t="s">
        <v>3001</v>
      </c>
      <c r="E27" s="8"/>
      <c r="F27" s="7" t="s">
        <v>1866</v>
      </c>
      <c r="G27" s="7" t="str">
        <f t="shared" si="7"/>
        <v>text</v>
      </c>
      <c r="H27" s="26"/>
      <c r="I27" s="10"/>
      <c r="J27" s="11"/>
      <c r="M27" s="4"/>
      <c r="N27" s="78"/>
      <c r="O27" s="78"/>
      <c r="P27" s="78" t="str">
        <f t="shared" si="8"/>
        <v>,test_sub_class_code</v>
      </c>
      <c r="Q27" s="78" t="str">
        <f t="shared" si="9"/>
        <v>TEXT</v>
      </c>
      <c r="R27" s="78" t="str">
        <f t="shared" si="10"/>
        <v/>
      </c>
      <c r="S27" s="78" t="str">
        <f t="shared" si="11"/>
        <v/>
      </c>
      <c r="T27" s="78" t="str">
        <f t="shared" si="12"/>
        <v>-- 報告書詳細種別コード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milscm_2023_010.azn_202310_backup_text_mml_mmlrp_body.test_sub_class_code IS '報告書詳細種別コード';</v>
      </c>
    </row>
    <row r="28" spans="1:45" s="25" customFormat="1">
      <c r="A28" s="4"/>
      <c r="B28" s="21">
        <f t="shared" si="2"/>
        <v>16</v>
      </c>
      <c r="C28" s="6" t="s">
        <v>3002</v>
      </c>
      <c r="D28" s="6" t="s">
        <v>3003</v>
      </c>
      <c r="E28" s="8"/>
      <c r="F28" s="7" t="s">
        <v>1866</v>
      </c>
      <c r="G28" s="7" t="str">
        <f t="shared" si="7"/>
        <v>text</v>
      </c>
      <c r="H28" s="26"/>
      <c r="I28" s="10"/>
      <c r="J28" s="11"/>
      <c r="M28" s="4"/>
      <c r="N28" s="78"/>
      <c r="O28" s="78"/>
      <c r="P28" s="78" t="str">
        <f t="shared" si="8"/>
        <v>,test_sub_class_code_id</v>
      </c>
      <c r="Q28" s="78" t="str">
        <f t="shared" si="9"/>
        <v>TEXT</v>
      </c>
      <c r="R28" s="78" t="str">
        <f t="shared" si="10"/>
        <v/>
      </c>
      <c r="S28" s="78" t="str">
        <f t="shared" si="11"/>
        <v/>
      </c>
      <c r="T28" s="78" t="str">
        <f t="shared" si="12"/>
        <v>-- 報告書詳細種別コードID</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milscm_2023_010.azn_202310_backup_text_mml_mmlrp_body.test_sub_class_code_id IS '報告書詳細種別コードID';</v>
      </c>
    </row>
    <row r="29" spans="1:45" s="25" customFormat="1">
      <c r="A29" s="4"/>
      <c r="B29" s="21">
        <f t="shared" si="2"/>
        <v>17</v>
      </c>
      <c r="C29" s="6" t="s">
        <v>3004</v>
      </c>
      <c r="D29" s="6" t="s">
        <v>3005</v>
      </c>
      <c r="E29" s="8"/>
      <c r="F29" s="7" t="s">
        <v>1866</v>
      </c>
      <c r="G29" s="7" t="str">
        <f t="shared" si="7"/>
        <v>text</v>
      </c>
      <c r="H29" s="26"/>
      <c r="I29" s="10"/>
      <c r="J29" s="11"/>
      <c r="M29" s="4"/>
      <c r="N29" s="78"/>
      <c r="O29" s="78"/>
      <c r="P29" s="78" t="str">
        <f t="shared" si="8"/>
        <v>,organ</v>
      </c>
      <c r="Q29" s="78" t="str">
        <f t="shared" si="9"/>
        <v>TEXT</v>
      </c>
      <c r="R29" s="78" t="str">
        <f t="shared" si="10"/>
        <v/>
      </c>
      <c r="S29" s="78" t="str">
        <f t="shared" si="11"/>
        <v/>
      </c>
      <c r="T29" s="78" t="str">
        <f t="shared" si="12"/>
        <v>-- 臓器</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milscm_2023_010.azn_202310_backup_text_mml_mmlrp_body.organ IS '臓器';</v>
      </c>
    </row>
    <row r="30" spans="1:45" s="25" customFormat="1">
      <c r="A30" s="4"/>
      <c r="B30" s="21">
        <f t="shared" si="2"/>
        <v>18</v>
      </c>
      <c r="C30" s="6" t="s">
        <v>3006</v>
      </c>
      <c r="D30" s="6" t="s">
        <v>3007</v>
      </c>
      <c r="E30" s="8"/>
      <c r="F30" s="7" t="s">
        <v>1866</v>
      </c>
      <c r="G30" s="7" t="str">
        <f t="shared" si="7"/>
        <v>text</v>
      </c>
      <c r="H30" s="26"/>
      <c r="I30" s="10"/>
      <c r="J30" s="11"/>
      <c r="M30" s="4"/>
      <c r="N30" s="78"/>
      <c r="O30" s="78"/>
      <c r="P30" s="78" t="str">
        <f t="shared" si="8"/>
        <v>,con_facility</v>
      </c>
      <c r="Q30" s="78" t="str">
        <f t="shared" si="9"/>
        <v>TEXT</v>
      </c>
      <c r="R30" s="78" t="str">
        <f t="shared" si="10"/>
        <v/>
      </c>
      <c r="S30" s="78" t="str">
        <f t="shared" si="11"/>
        <v/>
      </c>
      <c r="T30" s="78" t="str">
        <f t="shared" si="12"/>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milscm_2023_010.azn_202310_backup_text_mml_mmlrp_body.con_facility IS '依頼施設';</v>
      </c>
    </row>
    <row r="31" spans="1:45" s="25" customFormat="1">
      <c r="A31" s="4"/>
      <c r="B31" s="21">
        <f t="shared" si="2"/>
        <v>19</v>
      </c>
      <c r="C31" s="6" t="s">
        <v>1611</v>
      </c>
      <c r="D31" s="6" t="s">
        <v>3008</v>
      </c>
      <c r="E31" s="8"/>
      <c r="F31" s="7" t="s">
        <v>1866</v>
      </c>
      <c r="G31" s="7" t="str">
        <f t="shared" si="7"/>
        <v>text</v>
      </c>
      <c r="H31" s="26"/>
      <c r="I31" s="10"/>
      <c r="J31" s="11"/>
      <c r="M31" s="4"/>
      <c r="N31" s="78"/>
      <c r="O31" s="78"/>
      <c r="P31" s="78" t="str">
        <f t="shared" si="8"/>
        <v>,con_facility_code</v>
      </c>
      <c r="Q31" s="78" t="str">
        <f t="shared" si="9"/>
        <v>TEXT</v>
      </c>
      <c r="R31" s="78" t="str">
        <f t="shared" si="10"/>
        <v/>
      </c>
      <c r="S31" s="78" t="str">
        <f t="shared" si="11"/>
        <v/>
      </c>
      <c r="T31" s="78" t="str">
        <f t="shared" si="12"/>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milscm_2023_010.azn_202310_backup_text_mml_mmlrp_body.con_facility_code IS '依頼施設コード';</v>
      </c>
    </row>
    <row r="32" spans="1:45" s="25" customFormat="1">
      <c r="A32" s="4"/>
      <c r="B32" s="21">
        <f t="shared" si="2"/>
        <v>20</v>
      </c>
      <c r="C32" s="6" t="s">
        <v>1613</v>
      </c>
      <c r="D32" s="6" t="s">
        <v>3009</v>
      </c>
      <c r="E32" s="8"/>
      <c r="F32" s="7" t="s">
        <v>1866</v>
      </c>
      <c r="G32" s="7" t="str">
        <f t="shared" si="7"/>
        <v>text</v>
      </c>
      <c r="H32" s="26"/>
      <c r="I32" s="10"/>
      <c r="J32" s="11"/>
      <c r="M32" s="4"/>
      <c r="N32" s="78"/>
      <c r="O32" s="78"/>
      <c r="P32" s="78" t="str">
        <f t="shared" si="8"/>
        <v>,con_facility_code_id</v>
      </c>
      <c r="Q32" s="78" t="str">
        <f t="shared" si="9"/>
        <v>TEXT</v>
      </c>
      <c r="R32" s="78" t="str">
        <f t="shared" si="10"/>
        <v/>
      </c>
      <c r="S32" s="78" t="str">
        <f t="shared" si="11"/>
        <v/>
      </c>
      <c r="T32" s="78" t="str">
        <f t="shared" si="12"/>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milscm_2023_010.azn_202310_backup_text_mml_mmlrp_body.con_facility_code_id IS '依頼施設コードID';</v>
      </c>
    </row>
    <row r="33" spans="1:45" s="25" customFormat="1">
      <c r="A33" s="4"/>
      <c r="B33" s="21">
        <f t="shared" si="2"/>
        <v>21</v>
      </c>
      <c r="C33" s="6" t="s">
        <v>1615</v>
      </c>
      <c r="D33" s="6" t="s">
        <v>3010</v>
      </c>
      <c r="E33" s="8"/>
      <c r="F33" s="7" t="s">
        <v>1866</v>
      </c>
      <c r="G33" s="7" t="str">
        <f t="shared" si="7"/>
        <v>text</v>
      </c>
      <c r="H33" s="26"/>
      <c r="I33" s="10"/>
      <c r="J33" s="11"/>
      <c r="M33" s="4"/>
      <c r="N33" s="78"/>
      <c r="O33" s="78"/>
      <c r="P33" s="78" t="str">
        <f t="shared" si="8"/>
        <v>,con_department</v>
      </c>
      <c r="Q33" s="78" t="str">
        <f t="shared" si="9"/>
        <v>TEXT</v>
      </c>
      <c r="R33" s="78" t="str">
        <f t="shared" si="10"/>
        <v/>
      </c>
      <c r="S33" s="78" t="str">
        <f t="shared" si="11"/>
        <v/>
      </c>
      <c r="T33" s="78" t="str">
        <f t="shared" si="12"/>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milscm_2023_010.azn_202310_backup_text_mml_mmlrp_body.con_department IS '依頼診療科';</v>
      </c>
    </row>
    <row r="34" spans="1:45" s="25" customFormat="1">
      <c r="A34" s="4"/>
      <c r="B34" s="21">
        <f t="shared" si="2"/>
        <v>22</v>
      </c>
      <c r="C34" s="6" t="s">
        <v>1617</v>
      </c>
      <c r="D34" s="6" t="s">
        <v>3011</v>
      </c>
      <c r="E34" s="8"/>
      <c r="F34" s="7" t="s">
        <v>1866</v>
      </c>
      <c r="G34" s="7" t="str">
        <f t="shared" si="7"/>
        <v>text</v>
      </c>
      <c r="H34" s="26"/>
      <c r="I34" s="10"/>
      <c r="J34" s="11"/>
      <c r="M34" s="4"/>
      <c r="N34" s="78"/>
      <c r="O34" s="78"/>
      <c r="P34" s="78" t="str">
        <f t="shared" si="8"/>
        <v>,con_department_code</v>
      </c>
      <c r="Q34" s="78" t="str">
        <f t="shared" si="9"/>
        <v>TEXT</v>
      </c>
      <c r="R34" s="78" t="str">
        <f t="shared" si="10"/>
        <v/>
      </c>
      <c r="S34" s="78" t="str">
        <f t="shared" si="11"/>
        <v/>
      </c>
      <c r="T34" s="78" t="str">
        <f t="shared" si="12"/>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milscm_2023_010.azn_202310_backup_text_mml_mmlrp_body.con_department_code IS '依頼診療科コード';</v>
      </c>
    </row>
    <row r="35" spans="1:45" s="25" customFormat="1">
      <c r="A35" s="4"/>
      <c r="B35" s="21">
        <f t="shared" si="2"/>
        <v>23</v>
      </c>
      <c r="C35" s="6" t="s">
        <v>3012</v>
      </c>
      <c r="D35" s="6" t="s">
        <v>3013</v>
      </c>
      <c r="E35" s="8"/>
      <c r="F35" s="7" t="s">
        <v>1866</v>
      </c>
      <c r="G35" s="7" t="str">
        <f t="shared" si="7"/>
        <v>text</v>
      </c>
      <c r="H35" s="26"/>
      <c r="I35" s="10"/>
      <c r="J35" s="11"/>
      <c r="M35" s="4"/>
      <c r="N35" s="78"/>
      <c r="O35" s="78"/>
      <c r="P35" s="78" t="str">
        <f t="shared" si="8"/>
        <v>,con_department_code_id</v>
      </c>
      <c r="Q35" s="78" t="str">
        <f t="shared" si="9"/>
        <v>TEXT</v>
      </c>
      <c r="R35" s="78" t="str">
        <f t="shared" si="10"/>
        <v/>
      </c>
      <c r="S35" s="78" t="str">
        <f t="shared" si="11"/>
        <v/>
      </c>
      <c r="T35" s="78" t="str">
        <f t="shared" si="12"/>
        <v>-- 依頼診療科コードID</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milscm_2023_010.azn_202310_backup_text_mml_mmlrp_body.con_department_code_id IS '依頼診療科コードID';</v>
      </c>
    </row>
    <row r="36" spans="1:45" s="25" customFormat="1">
      <c r="A36" s="4"/>
      <c r="B36" s="21">
        <f t="shared" si="2"/>
        <v>24</v>
      </c>
      <c r="C36" s="6" t="s">
        <v>1619</v>
      </c>
      <c r="D36" s="6" t="s">
        <v>3014</v>
      </c>
      <c r="E36" s="8"/>
      <c r="F36" s="7" t="s">
        <v>1866</v>
      </c>
      <c r="G36" s="7" t="str">
        <f t="shared" si="7"/>
        <v>text</v>
      </c>
      <c r="H36" s="26"/>
      <c r="I36" s="10"/>
      <c r="J36" s="11"/>
      <c r="M36" s="4"/>
      <c r="N36" s="78"/>
      <c r="O36" s="78"/>
      <c r="P36" s="78" t="str">
        <f t="shared" si="8"/>
        <v>,con_ward</v>
      </c>
      <c r="Q36" s="78" t="str">
        <f t="shared" si="9"/>
        <v>TEXT</v>
      </c>
      <c r="R36" s="78" t="str">
        <f t="shared" si="10"/>
        <v/>
      </c>
      <c r="S36" s="78" t="str">
        <f t="shared" si="11"/>
        <v/>
      </c>
      <c r="T36" s="78" t="str">
        <f t="shared" si="12"/>
        <v>-- 依頼病棟</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milscm_2023_010.azn_202310_backup_text_mml_mmlrp_body.con_ward IS '依頼病棟';</v>
      </c>
    </row>
    <row r="37" spans="1:45" s="25" customFormat="1">
      <c r="A37" s="4"/>
      <c r="B37" s="21">
        <f t="shared" si="2"/>
        <v>25</v>
      </c>
      <c r="C37" s="6" t="s">
        <v>1621</v>
      </c>
      <c r="D37" s="6" t="s">
        <v>3015</v>
      </c>
      <c r="E37" s="8"/>
      <c r="F37" s="7" t="s">
        <v>1866</v>
      </c>
      <c r="G37" s="7" t="str">
        <f t="shared" si="7"/>
        <v>text</v>
      </c>
      <c r="H37" s="26"/>
      <c r="I37" s="10"/>
      <c r="J37" s="11"/>
      <c r="M37" s="4"/>
      <c r="N37" s="78"/>
      <c r="O37" s="78"/>
      <c r="P37" s="78" t="str">
        <f t="shared" si="8"/>
        <v>,con_ward_code</v>
      </c>
      <c r="Q37" s="78" t="str">
        <f t="shared" si="9"/>
        <v>TEXT</v>
      </c>
      <c r="R37" s="78" t="str">
        <f t="shared" si="10"/>
        <v/>
      </c>
      <c r="S37" s="78" t="str">
        <f t="shared" si="11"/>
        <v/>
      </c>
      <c r="T37" s="78" t="str">
        <f t="shared" si="12"/>
        <v>-- 依頼病棟コード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milscm_2023_010.azn_202310_backup_text_mml_mmlrp_body.con_ward_code IS '依頼病棟コード';</v>
      </c>
    </row>
    <row r="38" spans="1:45" s="25" customFormat="1">
      <c r="A38" s="4"/>
      <c r="B38" s="21">
        <f t="shared" si="2"/>
        <v>26</v>
      </c>
      <c r="C38" s="6" t="s">
        <v>1623</v>
      </c>
      <c r="D38" s="6" t="s">
        <v>3016</v>
      </c>
      <c r="E38" s="8"/>
      <c r="F38" s="7" t="s">
        <v>1866</v>
      </c>
      <c r="G38" s="7" t="str">
        <f t="shared" si="7"/>
        <v>text</v>
      </c>
      <c r="H38" s="26"/>
      <c r="I38" s="10"/>
      <c r="J38" s="11"/>
      <c r="M38" s="4"/>
      <c r="N38" s="78"/>
      <c r="O38" s="78"/>
      <c r="P38" s="78" t="str">
        <f t="shared" si="8"/>
        <v>,con_ward_code_id</v>
      </c>
      <c r="Q38" s="78" t="str">
        <f t="shared" si="9"/>
        <v>TEXT</v>
      </c>
      <c r="R38" s="78" t="str">
        <f t="shared" si="10"/>
        <v/>
      </c>
      <c r="S38" s="78" t="str">
        <f t="shared" si="11"/>
        <v/>
      </c>
      <c r="T38" s="78" t="str">
        <f t="shared" si="12"/>
        <v>-- 依頼病棟コードID</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milscm_2023_010.azn_202310_backup_text_mml_mmlrp_body.con_ward_code_id IS '依頼病棟コードID';</v>
      </c>
    </row>
    <row r="39" spans="1:45" s="25" customFormat="1">
      <c r="A39" s="4"/>
      <c r="B39" s="21">
        <f t="shared" si="2"/>
        <v>27</v>
      </c>
      <c r="C39" s="6" t="s">
        <v>3017</v>
      </c>
      <c r="D39" s="6" t="s">
        <v>3018</v>
      </c>
      <c r="E39" s="8"/>
      <c r="F39" s="7" t="s">
        <v>1866</v>
      </c>
      <c r="G39" s="7" t="str">
        <f t="shared" si="7"/>
        <v>text</v>
      </c>
      <c r="H39" s="26"/>
      <c r="I39" s="10"/>
      <c r="J39" s="11"/>
      <c r="M39" s="4"/>
      <c r="N39" s="78"/>
      <c r="O39" s="78"/>
      <c r="P39" s="78" t="str">
        <f t="shared" si="8"/>
        <v>,p_facility</v>
      </c>
      <c r="Q39" s="78" t="str">
        <f t="shared" si="9"/>
        <v>TEXT</v>
      </c>
      <c r="R39" s="78" t="str">
        <f t="shared" si="10"/>
        <v/>
      </c>
      <c r="S39" s="78" t="str">
        <f t="shared" si="11"/>
        <v/>
      </c>
      <c r="T39" s="78" t="str">
        <f t="shared" si="12"/>
        <v>-- 実施施設</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milscm_2023_010.azn_202310_backup_text_mml_mmlrp_body.p_facility IS '実施施設';</v>
      </c>
    </row>
    <row r="40" spans="1:45" s="25" customFormat="1">
      <c r="A40" s="4"/>
      <c r="B40" s="21">
        <f t="shared" si="2"/>
        <v>28</v>
      </c>
      <c r="C40" s="6" t="s">
        <v>3019</v>
      </c>
      <c r="D40" s="6" t="s">
        <v>3020</v>
      </c>
      <c r="E40" s="8"/>
      <c r="F40" s="7" t="s">
        <v>1866</v>
      </c>
      <c r="G40" s="7" t="str">
        <f t="shared" si="7"/>
        <v>text</v>
      </c>
      <c r="H40" s="26"/>
      <c r="I40" s="10"/>
      <c r="J40" s="11"/>
      <c r="M40" s="4"/>
      <c r="N40" s="78"/>
      <c r="O40" s="78"/>
      <c r="P40" s="78" t="str">
        <f t="shared" si="8"/>
        <v>,p_facility_code</v>
      </c>
      <c r="Q40" s="78" t="str">
        <f t="shared" si="9"/>
        <v>TEXT</v>
      </c>
      <c r="R40" s="78" t="str">
        <f t="shared" si="10"/>
        <v/>
      </c>
      <c r="S40" s="78" t="str">
        <f t="shared" si="11"/>
        <v/>
      </c>
      <c r="T40" s="78" t="str">
        <f t="shared" si="12"/>
        <v>-- 実施施設コード</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milscm_2023_010.azn_202310_backup_text_mml_mmlrp_body.p_facility_code IS '実施施設コード';</v>
      </c>
    </row>
    <row r="41" spans="1:45" s="25" customFormat="1">
      <c r="A41" s="4"/>
      <c r="B41" s="21">
        <f t="shared" si="2"/>
        <v>29</v>
      </c>
      <c r="C41" s="6" t="s">
        <v>3021</v>
      </c>
      <c r="D41" s="6" t="s">
        <v>3022</v>
      </c>
      <c r="E41" s="8"/>
      <c r="F41" s="7" t="s">
        <v>1866</v>
      </c>
      <c r="G41" s="7" t="str">
        <f t="shared" si="7"/>
        <v>text</v>
      </c>
      <c r="H41" s="26"/>
      <c r="I41" s="10"/>
      <c r="J41" s="11"/>
      <c r="M41" s="4"/>
      <c r="N41" s="78"/>
      <c r="O41" s="78"/>
      <c r="P41" s="78" t="str">
        <f t="shared" si="8"/>
        <v>,p_facility_code_id</v>
      </c>
      <c r="Q41" s="78" t="str">
        <f t="shared" si="9"/>
        <v>TEXT</v>
      </c>
      <c r="R41" s="78" t="str">
        <f t="shared" si="10"/>
        <v/>
      </c>
      <c r="S41" s="78" t="str">
        <f t="shared" si="11"/>
        <v/>
      </c>
      <c r="T41" s="78" t="str">
        <f t="shared" si="12"/>
        <v>-- 実施施設コードID</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milscm_2023_010.azn_202310_backup_text_mml_mmlrp_body.p_facility_code_id IS '実施施設コードID';</v>
      </c>
    </row>
    <row r="42" spans="1:45" s="25" customFormat="1">
      <c r="A42" s="4"/>
      <c r="B42" s="21">
        <f t="shared" si="2"/>
        <v>30</v>
      </c>
      <c r="C42" s="6" t="s">
        <v>3023</v>
      </c>
      <c r="D42" s="6" t="s">
        <v>3024</v>
      </c>
      <c r="E42" s="8"/>
      <c r="F42" s="7" t="s">
        <v>1866</v>
      </c>
      <c r="G42" s="7" t="str">
        <f t="shared" si="7"/>
        <v>text</v>
      </c>
      <c r="H42" s="26"/>
      <c r="I42" s="10"/>
      <c r="J42" s="11"/>
      <c r="M42" s="4"/>
      <c r="N42" s="78"/>
      <c r="O42" s="78"/>
      <c r="P42" s="78" t="str">
        <f t="shared" si="8"/>
        <v>,p_department</v>
      </c>
      <c r="Q42" s="78" t="str">
        <f t="shared" si="9"/>
        <v>TEXT</v>
      </c>
      <c r="R42" s="78" t="str">
        <f t="shared" si="10"/>
        <v/>
      </c>
      <c r="S42" s="78" t="str">
        <f t="shared" si="11"/>
        <v/>
      </c>
      <c r="T42" s="78" t="str">
        <f t="shared" si="12"/>
        <v>-- 実施診療科</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milscm_2023_010.azn_202310_backup_text_mml_mmlrp_body.p_department IS '実施診療科';</v>
      </c>
    </row>
    <row r="43" spans="1:45" s="25" customFormat="1">
      <c r="A43" s="4"/>
      <c r="B43" s="21">
        <f t="shared" si="2"/>
        <v>31</v>
      </c>
      <c r="C43" s="6" t="s">
        <v>3025</v>
      </c>
      <c r="D43" s="6" t="s">
        <v>3026</v>
      </c>
      <c r="E43" s="8"/>
      <c r="F43" s="7" t="s">
        <v>1866</v>
      </c>
      <c r="G43" s="7" t="str">
        <f t="shared" si="7"/>
        <v>text</v>
      </c>
      <c r="H43" s="26"/>
      <c r="I43" s="10"/>
      <c r="J43" s="11"/>
      <c r="M43" s="4"/>
      <c r="N43" s="78"/>
      <c r="O43" s="78"/>
      <c r="P43" s="78" t="str">
        <f t="shared" si="8"/>
        <v>,p_department_code</v>
      </c>
      <c r="Q43" s="78" t="str">
        <f t="shared" si="9"/>
        <v>TEXT</v>
      </c>
      <c r="R43" s="78" t="str">
        <f t="shared" si="10"/>
        <v/>
      </c>
      <c r="S43" s="78" t="str">
        <f t="shared" si="11"/>
        <v/>
      </c>
      <c r="T43" s="78" t="str">
        <f t="shared" si="12"/>
        <v>-- 実施診療科コード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milscm_2023_010.azn_202310_backup_text_mml_mmlrp_body.p_department_code IS '実施診療科コード';</v>
      </c>
    </row>
    <row r="44" spans="1:45" s="25" customFormat="1">
      <c r="A44" s="4"/>
      <c r="B44" s="21">
        <f t="shared" si="2"/>
        <v>32</v>
      </c>
      <c r="C44" s="6" t="s">
        <v>3027</v>
      </c>
      <c r="D44" s="6" t="s">
        <v>3028</v>
      </c>
      <c r="E44" s="8"/>
      <c r="F44" s="7" t="s">
        <v>1866</v>
      </c>
      <c r="G44" s="7" t="str">
        <f t="shared" ref="G44:G45" si="13">IF(F44="フラグ","boolean",IF(F44="文字列","text",IF(F44="整数","integer",IF(F44="実数","numeric",""))))</f>
        <v>text</v>
      </c>
      <c r="H44" s="26"/>
      <c r="I44" s="10"/>
      <c r="J44" s="11"/>
      <c r="M44" s="4"/>
      <c r="N44" s="78"/>
      <c r="O44" s="78"/>
      <c r="P44" s="78" t="str">
        <f t="shared" ref="P44:P45" si="14">IF(B44&lt;&gt;1,","&amp;D44,D44)</f>
        <v>,p_department_code_id</v>
      </c>
      <c r="Q44" s="78" t="str">
        <f t="shared" ref="Q44:Q45" si="15">UPPER(G44)</f>
        <v>TEXT</v>
      </c>
      <c r="R44" s="78" t="str">
        <f t="shared" ref="R44:R45" si="16">IF(H44&lt;&gt;"","default "&amp;IF(G44="text","'"&amp;H44&amp;"'",H44),"")</f>
        <v/>
      </c>
      <c r="S44" s="78" t="str">
        <f t="shared" ref="S44:S45" si="17">IF(I44="○","NOT NULL","")</f>
        <v/>
      </c>
      <c r="T44" s="78" t="str">
        <f t="shared" ref="T44:T45" si="18">"-- "&amp;C44</f>
        <v>-- 実施診療科コードID</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milscm_2023_010.azn_202310_backup_text_mml_mmlrp_body.p_department_code_id IS '実施診療科コードID';</v>
      </c>
    </row>
    <row r="45" spans="1:45" s="25" customFormat="1">
      <c r="A45" s="4"/>
      <c r="B45" s="21">
        <f t="shared" si="2"/>
        <v>33</v>
      </c>
      <c r="C45" s="6" t="s">
        <v>3029</v>
      </c>
      <c r="D45" s="6" t="s">
        <v>3030</v>
      </c>
      <c r="E45" s="8"/>
      <c r="F45" s="7" t="s">
        <v>1866</v>
      </c>
      <c r="G45" s="7" t="str">
        <f t="shared" si="13"/>
        <v>text</v>
      </c>
      <c r="H45" s="26"/>
      <c r="I45" s="10"/>
      <c r="J45" s="11"/>
      <c r="M45" s="4"/>
      <c r="N45" s="78"/>
      <c r="O45" s="78"/>
      <c r="P45" s="78" t="str">
        <f t="shared" si="14"/>
        <v>,p_ward</v>
      </c>
      <c r="Q45" s="78" t="str">
        <f t="shared" si="15"/>
        <v>TEXT</v>
      </c>
      <c r="R45" s="78" t="str">
        <f t="shared" si="16"/>
        <v/>
      </c>
      <c r="S45" s="78" t="str">
        <f t="shared" si="17"/>
        <v/>
      </c>
      <c r="T45" s="78" t="str">
        <f t="shared" si="18"/>
        <v>-- 実施病棟</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milscm_2023_010.azn_202310_backup_text_mml_mmlrp_body.p_ward IS '実施病棟';</v>
      </c>
    </row>
    <row r="46" spans="1:45" s="25" customFormat="1">
      <c r="A46" s="4"/>
      <c r="B46" s="21">
        <f t="shared" si="2"/>
        <v>34</v>
      </c>
      <c r="C46" s="6" t="s">
        <v>3031</v>
      </c>
      <c r="D46" s="6" t="s">
        <v>3032</v>
      </c>
      <c r="E46" s="8"/>
      <c r="F46" s="7" t="s">
        <v>1866</v>
      </c>
      <c r="G46" s="7" t="str">
        <f t="shared" si="7"/>
        <v>text</v>
      </c>
      <c r="H46" s="26"/>
      <c r="I46" s="10"/>
      <c r="J46" s="11"/>
      <c r="M46" s="4"/>
      <c r="N46" s="78"/>
      <c r="O46" s="78"/>
      <c r="P46" s="78" t="str">
        <f t="shared" si="8"/>
        <v>,p_ward_code</v>
      </c>
      <c r="Q46" s="78" t="str">
        <f t="shared" si="9"/>
        <v>TEXT</v>
      </c>
      <c r="R46" s="78" t="str">
        <f t="shared" si="10"/>
        <v/>
      </c>
      <c r="S46" s="78" t="str">
        <f t="shared" si="11"/>
        <v/>
      </c>
      <c r="T46" s="78" t="str">
        <f t="shared" si="12"/>
        <v>-- 実施病棟コード</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milscm_2023_010.azn_202310_backup_text_mml_mmlrp_body.p_ward_code IS '実施病棟コード';</v>
      </c>
    </row>
    <row r="47" spans="1:45" s="25" customFormat="1">
      <c r="A47" s="4"/>
      <c r="B47" s="21">
        <f t="shared" si="2"/>
        <v>35</v>
      </c>
      <c r="C47" s="6" t="s">
        <v>3033</v>
      </c>
      <c r="D47" s="6" t="s">
        <v>3034</v>
      </c>
      <c r="E47" s="8"/>
      <c r="F47" s="7" t="s">
        <v>1866</v>
      </c>
      <c r="G47" s="7" t="str">
        <f t="shared" si="7"/>
        <v>text</v>
      </c>
      <c r="H47" s="26"/>
      <c r="I47" s="10"/>
      <c r="J47" s="11"/>
      <c r="M47" s="4"/>
      <c r="N47" s="78"/>
      <c r="O47" s="78"/>
      <c r="P47" s="78" t="str">
        <f t="shared" si="8"/>
        <v>,p_ward_code_id</v>
      </c>
      <c r="Q47" s="78" t="str">
        <f t="shared" si="9"/>
        <v>TEXT</v>
      </c>
      <c r="R47" s="78" t="str">
        <f t="shared" si="10"/>
        <v/>
      </c>
      <c r="S47" s="78" t="str">
        <f t="shared" si="11"/>
        <v/>
      </c>
      <c r="T47" s="78" t="str">
        <f t="shared" si="12"/>
        <v>-- 実施病棟コードID</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milscm_2023_010.azn_202310_backup_text_mml_mmlrp_body.p_ward_code_id IS '実施病棟コードID';</v>
      </c>
    </row>
    <row r="48" spans="1:45" s="25" customFormat="1">
      <c r="A48" s="4"/>
      <c r="B48" s="21">
        <f t="shared" si="2"/>
        <v>36</v>
      </c>
      <c r="C48" s="6" t="s">
        <v>1490</v>
      </c>
      <c r="D48" s="6" t="s">
        <v>1491</v>
      </c>
      <c r="E48" s="8"/>
      <c r="F48" s="7" t="s">
        <v>1866</v>
      </c>
      <c r="G48" s="7" t="str">
        <f t="shared" si="7"/>
        <v>text</v>
      </c>
      <c r="H48" s="26"/>
      <c r="I48" s="10"/>
      <c r="J48" s="11"/>
      <c r="M48" s="4"/>
      <c r="N48" s="78"/>
      <c r="O48" s="78"/>
      <c r="P48" s="78" t="str">
        <f t="shared" si="8"/>
        <v>,chief_complaints</v>
      </c>
      <c r="Q48" s="78" t="str">
        <f t="shared" si="9"/>
        <v>TEXT</v>
      </c>
      <c r="R48" s="78" t="str">
        <f t="shared" si="10"/>
        <v/>
      </c>
      <c r="S48" s="78" t="str">
        <f t="shared" si="11"/>
        <v/>
      </c>
      <c r="T48" s="78" t="str">
        <f t="shared" si="12"/>
        <v>-- 主訴</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milscm_2023_010.azn_202310_backup_text_mml_mmlrp_body.chief_complaints IS '主訴';</v>
      </c>
    </row>
    <row r="49" spans="1:52" s="25" customFormat="1">
      <c r="A49" s="4"/>
      <c r="B49" s="21">
        <f t="shared" si="2"/>
        <v>37</v>
      </c>
      <c r="C49" s="6" t="s">
        <v>3035</v>
      </c>
      <c r="D49" s="6" t="s">
        <v>3036</v>
      </c>
      <c r="E49" s="8"/>
      <c r="F49" s="7" t="s">
        <v>1866</v>
      </c>
      <c r="G49" s="7" t="str">
        <f t="shared" si="7"/>
        <v>text</v>
      </c>
      <c r="H49" s="26"/>
      <c r="I49" s="10"/>
      <c r="J49" s="11"/>
      <c r="M49" s="4"/>
      <c r="N49" s="78"/>
      <c r="O49" s="78"/>
      <c r="P49" s="78" t="str">
        <f t="shared" si="8"/>
        <v>,test_purpose</v>
      </c>
      <c r="Q49" s="78" t="str">
        <f t="shared" si="9"/>
        <v>TEXT</v>
      </c>
      <c r="R49" s="78" t="str">
        <f t="shared" si="10"/>
        <v/>
      </c>
      <c r="S49" s="78" t="str">
        <f t="shared" si="11"/>
        <v/>
      </c>
      <c r="T49" s="78" t="str">
        <f t="shared" si="12"/>
        <v>-- 検査目的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milscm_2023_010.azn_202310_backup_text_mml_mmlrp_body.test_purpose IS '検査目的';</v>
      </c>
    </row>
    <row r="50" spans="1:52" s="25" customFormat="1">
      <c r="A50" s="4"/>
      <c r="B50" s="21">
        <f t="shared" si="2"/>
        <v>38</v>
      </c>
      <c r="C50" s="6" t="s">
        <v>3037</v>
      </c>
      <c r="D50" s="6" t="s">
        <v>3038</v>
      </c>
      <c r="E50" s="8"/>
      <c r="F50" s="7" t="s">
        <v>1866</v>
      </c>
      <c r="G50" s="7" t="str">
        <f t="shared" si="7"/>
        <v>text</v>
      </c>
      <c r="H50" s="26"/>
      <c r="I50" s="10"/>
      <c r="J50" s="11"/>
      <c r="M50" s="4"/>
      <c r="N50" s="78"/>
      <c r="O50" s="78"/>
      <c r="P50" s="78" t="str">
        <f t="shared" si="8"/>
        <v>,test_dx</v>
      </c>
      <c r="Q50" s="78" t="str">
        <f t="shared" si="9"/>
        <v>TEXT</v>
      </c>
      <c r="R50" s="78" t="str">
        <f t="shared" si="10"/>
        <v/>
      </c>
      <c r="S50" s="78" t="str">
        <f t="shared" si="11"/>
        <v/>
      </c>
      <c r="T50" s="78" t="str">
        <f t="shared" si="12"/>
        <v>-- 検査診断</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milscm_2023_010.azn_202310_backup_text_mml_mmlrp_body.test_dx IS '検査診断';</v>
      </c>
    </row>
    <row r="51" spans="1:52" s="25" customFormat="1">
      <c r="A51" s="4"/>
      <c r="B51" s="21">
        <f t="shared" si="2"/>
        <v>39</v>
      </c>
      <c r="C51" s="6" t="s">
        <v>3039</v>
      </c>
      <c r="D51" s="6" t="s">
        <v>3040</v>
      </c>
      <c r="E51" s="8"/>
      <c r="F51" s="7" t="s">
        <v>1866</v>
      </c>
      <c r="G51" s="7" t="str">
        <f t="shared" si="3"/>
        <v>text</v>
      </c>
      <c r="H51" s="26"/>
      <c r="I51" s="10"/>
      <c r="J51" s="11"/>
      <c r="M51" s="4"/>
      <c r="N51" s="78"/>
      <c r="O51" s="78"/>
      <c r="P51" s="78" t="str">
        <f t="shared" si="4"/>
        <v>,test_notes</v>
      </c>
      <c r="Q51" s="78" t="str">
        <f t="shared" si="0"/>
        <v>TEXT</v>
      </c>
      <c r="R51" s="78" t="str">
        <f t="shared" si="1"/>
        <v/>
      </c>
      <c r="S51" s="78" t="str">
        <f t="shared" si="5"/>
        <v/>
      </c>
      <c r="T51" s="78" t="str">
        <f t="shared" si="6"/>
        <v>-- 検査所見記載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milscm_2023_010.azn_202310_backup_text_mml_mmlrp_body.test_notes IS '検査所見記載';</v>
      </c>
    </row>
    <row r="52" spans="1:52" s="25" customFormat="1" ht="19.5" thickBot="1">
      <c r="A52" s="4"/>
      <c r="B52" s="27">
        <f>ROW()-12</f>
        <v>40</v>
      </c>
      <c r="C52" s="57" t="s">
        <v>3041</v>
      </c>
      <c r="D52" s="57" t="s">
        <v>3042</v>
      </c>
      <c r="E52" s="56"/>
      <c r="F52" s="56" t="s">
        <v>1866</v>
      </c>
      <c r="G52" s="56" t="str">
        <f t="shared" si="3"/>
        <v>text</v>
      </c>
      <c r="H52" s="59"/>
      <c r="I52" s="60"/>
      <c r="J52" s="64"/>
      <c r="N52" s="78"/>
      <c r="O52" s="78"/>
      <c r="P52" s="78" t="str">
        <f t="shared" si="4"/>
        <v>,test_memo_f</v>
      </c>
      <c r="Q52" s="78" t="str">
        <f t="shared" si="0"/>
        <v>TEXT</v>
      </c>
      <c r="R52" s="78" t="str">
        <f t="shared" si="1"/>
        <v/>
      </c>
      <c r="S52" s="78" t="str">
        <f t="shared" si="5"/>
        <v/>
      </c>
      <c r="T52" s="78" t="str">
        <f t="shared" si="6"/>
        <v>-- 検査フリーコメント</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milscm_2023_010.azn_202310_backup_text_mml_mmlrp_body.test_memo_f IS '検査フリーコメント';</v>
      </c>
    </row>
    <row r="53" spans="1:52">
      <c r="L53" s="25"/>
      <c r="M53" s="25"/>
      <c r="N53" s="78" t="s">
        <v>142</v>
      </c>
      <c r="O53" s="78"/>
      <c r="P53" s="78"/>
      <c r="Q53" s="78"/>
      <c r="R53" s="78"/>
      <c r="S53" s="78"/>
      <c r="T53" s="78"/>
      <c r="V53" s="25"/>
      <c r="W53" s="25"/>
      <c r="X53" s="25"/>
      <c r="Y53" s="25"/>
      <c r="Z53" s="25"/>
      <c r="AJ53" s="78"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700-000000000000}"/>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ENT_01_A6-51</v>
      </c>
      <c r="E6" s="239"/>
      <c r="F6" s="239"/>
      <c r="G6" s="239"/>
      <c r="H6" s="239"/>
      <c r="I6" s="239"/>
      <c r="J6" s="240"/>
    </row>
    <row r="7" spans="1:45">
      <c r="B7" s="228" t="s">
        <v>115</v>
      </c>
      <c r="C7" s="229"/>
      <c r="D7" s="230" t="s">
        <v>3043</v>
      </c>
      <c r="E7" s="231"/>
      <c r="F7" s="231"/>
      <c r="G7" s="231"/>
      <c r="H7" s="231"/>
      <c r="I7" s="231"/>
      <c r="J7" s="232"/>
    </row>
    <row r="8" spans="1:45">
      <c r="B8" s="228" t="s">
        <v>116</v>
      </c>
      <c r="C8" s="229"/>
      <c r="D8" s="230" t="str">
        <f>エンティティ一覧!AE2&amp;"_"&amp;D5&amp;"_text_mml_mmlrp_test_memo"</f>
        <v>azn_202310_backup_text_mml_mmlrp_test_memo</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milscm_2023_010.azn_202310_backup_text_mml_mmlrp_test_memo;</v>
      </c>
      <c r="O10" s="78"/>
      <c r="P10" s="78"/>
      <c r="Q10" s="78"/>
      <c r="R10" s="78"/>
      <c r="S10" s="78"/>
      <c r="T10" s="78"/>
      <c r="AJ10" s="78" t="str">
        <f>"ALTER TABLE ONLY "&amp;エンティティ一覧!$O$2&amp;"."&amp;D$8</f>
        <v>ALTER TABLE ONLY milscm_2023_010.azn_202310_backup_text_mml_mmlrp_test_memo</v>
      </c>
      <c r="AS10" s="78" t="str">
        <f>"ALTER TABLE "&amp;エンティティ一覧!$O$2&amp;"."&amp;D$8&amp;" OWNER TO pgmisgrp1;"</f>
        <v>ALTER TABLE milscm_2023_010.azn_202310_backup_text_mml_mmlrp_test_memo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milscm_2023_010.azn_202310_backup_text_mml_mmlrp_test_memo</v>
      </c>
      <c r="O11" s="78"/>
      <c r="P11" s="78"/>
      <c r="Q11" s="78"/>
      <c r="R11" s="78"/>
      <c r="S11" s="78"/>
      <c r="T11" s="78"/>
      <c r="AJ11" s="78" t="str">
        <f>"ADD CONSTRAINT "&amp;D$8&amp;"_pkey PRIMARY KEY"</f>
        <v>ADD CONSTRAINT azn_202310_backup_text_mml_mmlrp_test_memo_pkey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milscm_2023_010.azn_202310_backup_text_mml_mmlrp_test_memo IS 'バックアップ_MML_報告書情報モジュール_検査コメント';</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milscm_2023_010.azn_202310_backup_text_mml_mmlrp_test_memo.zip_no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milscm_2023_010.azn_202310_backup_text_mml_mmlrp_test_memo.file_no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milscm_2023_010.azn_202310_backup_text_mml_mmlrp_test_memo.body_no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milscm_2023_010.azn_202310_backup_text_mml_mmlrp_test_memo.facility_id_mml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milscm_2023_010.azn_202310_backup_text_mml_mmlrp_test_memo.master_id IS '患者ID';</v>
      </c>
    </row>
    <row r="18" spans="1:52" s="25" customFormat="1">
      <c r="A18" s="4"/>
      <c r="B18" s="21">
        <f t="shared" si="2"/>
        <v>6</v>
      </c>
      <c r="C18" s="6" t="s">
        <v>3044</v>
      </c>
      <c r="D18" s="6" t="s">
        <v>3045</v>
      </c>
      <c r="E18" s="8" t="s">
        <v>127</v>
      </c>
      <c r="F18" s="7" t="s">
        <v>2827</v>
      </c>
      <c r="G18" s="7" t="str">
        <f t="shared" si="3"/>
        <v>integer</v>
      </c>
      <c r="H18" s="26"/>
      <c r="I18" s="10" t="s">
        <v>127</v>
      </c>
      <c r="J18" s="11"/>
      <c r="M18" s="4"/>
      <c r="N18" s="78"/>
      <c r="O18" s="78"/>
      <c r="P18" s="78" t="str">
        <f t="shared" si="4"/>
        <v>,test_memo_no</v>
      </c>
      <c r="Q18" s="78" t="str">
        <f t="shared" si="0"/>
        <v>INTEGER</v>
      </c>
      <c r="R18" s="78" t="str">
        <f t="shared" si="1"/>
        <v/>
      </c>
      <c r="S18" s="78" t="str">
        <f t="shared" si="5"/>
        <v>NOT NULL</v>
      </c>
      <c r="T18" s="78" t="str">
        <f t="shared" si="6"/>
        <v>-- 検査コメントNo</v>
      </c>
      <c r="U18" s="4"/>
      <c r="AA18" s="4"/>
      <c r="AB18" s="4"/>
      <c r="AC18" s="4"/>
      <c r="AD18" s="4"/>
      <c r="AE18" s="4"/>
      <c r="AF18" s="4"/>
      <c r="AG18" s="4"/>
      <c r="AH18" s="4"/>
      <c r="AI18" s="4"/>
      <c r="AJ18" s="78" t="str">
        <f>IF(E18="○",IF(COUNTA(E$13:E18)=1,"",",")&amp;D18,"")</f>
        <v>,test_memo_no</v>
      </c>
      <c r="AK18" s="4"/>
      <c r="AL18" s="4"/>
      <c r="AM18" s="4"/>
      <c r="AN18" s="4"/>
      <c r="AO18" s="4"/>
      <c r="AP18" s="4"/>
      <c r="AQ18" s="4"/>
      <c r="AR18" s="4"/>
      <c r="AS18" s="78" t="str">
        <f>"COMMENT ON COLUMN "&amp;エンティティ一覧!$O$2&amp;"."&amp;D$8&amp;"."&amp;D18&amp;" IS '"&amp;C18&amp;"';"</f>
        <v>COMMENT ON COLUMN milscm_2023_010.azn_202310_backup_text_mml_mmlrp_test_memo.test_memo_no IS '検査コメントNo';</v>
      </c>
    </row>
    <row r="19" spans="1:52" s="25" customFormat="1">
      <c r="A19" s="4"/>
      <c r="B19" s="21">
        <f t="shared" si="2"/>
        <v>7</v>
      </c>
      <c r="C19" s="6" t="s">
        <v>3046</v>
      </c>
      <c r="D19" s="6" t="s">
        <v>3047</v>
      </c>
      <c r="E19" s="8"/>
      <c r="F19" s="7" t="s">
        <v>1866</v>
      </c>
      <c r="G19" s="7" t="str">
        <f t="shared" si="3"/>
        <v>text</v>
      </c>
      <c r="H19" s="26"/>
      <c r="I19" s="10"/>
      <c r="J19" s="11"/>
      <c r="M19" s="4"/>
      <c r="N19" s="78"/>
      <c r="O19" s="78"/>
      <c r="P19" s="78" t="str">
        <f t="shared" si="4"/>
        <v>,test_memo</v>
      </c>
      <c r="Q19" s="78" t="str">
        <f t="shared" si="0"/>
        <v>TEXT</v>
      </c>
      <c r="R19" s="78" t="str">
        <f t="shared" si="1"/>
        <v/>
      </c>
      <c r="S19" s="78" t="str">
        <f t="shared" si="5"/>
        <v/>
      </c>
      <c r="T19" s="78" t="str">
        <f t="shared" si="6"/>
        <v>-- 検査コメント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milscm_2023_010.azn_202310_backup_text_mml_mmlrp_test_memo.test_memo IS '検査コメント';</v>
      </c>
    </row>
    <row r="20" spans="1:52" s="25" customFormat="1">
      <c r="A20" s="4"/>
      <c r="B20" s="21">
        <f t="shared" si="2"/>
        <v>8</v>
      </c>
      <c r="C20" s="6" t="s">
        <v>3048</v>
      </c>
      <c r="D20" s="6" t="s">
        <v>3049</v>
      </c>
      <c r="E20" s="8"/>
      <c r="F20" s="7" t="s">
        <v>1866</v>
      </c>
      <c r="G20" s="7" t="str">
        <f t="shared" si="3"/>
        <v>text</v>
      </c>
      <c r="H20" s="26"/>
      <c r="I20" s="10"/>
      <c r="J20" s="11"/>
      <c r="M20" s="4"/>
      <c r="N20" s="78"/>
      <c r="O20" s="78"/>
      <c r="P20" s="78" t="str">
        <f t="shared" si="4"/>
        <v>,tm_code_name</v>
      </c>
      <c r="Q20" s="78" t="str">
        <f t="shared" si="0"/>
        <v>TEXT</v>
      </c>
      <c r="R20" s="78" t="str">
        <f t="shared" si="1"/>
        <v/>
      </c>
      <c r="S20" s="78" t="str">
        <f t="shared" si="5"/>
        <v/>
      </c>
      <c r="T20" s="78" t="str">
        <f t="shared" si="6"/>
        <v>-- 検査コメント名称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milscm_2023_010.azn_202310_backup_text_mml_mmlrp_test_memo.tm_code_name IS '検査コメント名称';</v>
      </c>
    </row>
    <row r="21" spans="1:52" s="25" customFormat="1">
      <c r="A21" s="4"/>
      <c r="B21" s="21">
        <f t="shared" si="2"/>
        <v>9</v>
      </c>
      <c r="C21" s="6" t="s">
        <v>3050</v>
      </c>
      <c r="D21" s="6" t="s">
        <v>3051</v>
      </c>
      <c r="E21" s="8"/>
      <c r="F21" s="7" t="s">
        <v>1866</v>
      </c>
      <c r="G21" s="7" t="str">
        <f t="shared" si="3"/>
        <v>text</v>
      </c>
      <c r="H21" s="26"/>
      <c r="I21" s="10"/>
      <c r="J21" s="11"/>
      <c r="M21" s="4"/>
      <c r="N21" s="78"/>
      <c r="O21" s="78"/>
      <c r="P21" s="78" t="str">
        <f t="shared" si="4"/>
        <v>,tm_code</v>
      </c>
      <c r="Q21" s="78" t="str">
        <f t="shared" si="0"/>
        <v>TEXT</v>
      </c>
      <c r="R21" s="78" t="str">
        <f t="shared" si="1"/>
        <v/>
      </c>
      <c r="S21" s="78" t="str">
        <f t="shared" si="5"/>
        <v/>
      </c>
      <c r="T21" s="78" t="str">
        <f t="shared" si="6"/>
        <v>-- 検査コメントコード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milscm_2023_010.azn_202310_backup_text_mml_mmlrp_test_memo.tm_code IS '検査コメントコード';</v>
      </c>
    </row>
    <row r="22" spans="1:52" s="25" customFormat="1" ht="19.5" thickBot="1">
      <c r="A22" s="4"/>
      <c r="B22" s="27">
        <f>ROW()-12</f>
        <v>10</v>
      </c>
      <c r="C22" s="57" t="s">
        <v>3052</v>
      </c>
      <c r="D22" s="57" t="s">
        <v>3053</v>
      </c>
      <c r="E22" s="56"/>
      <c r="F22" s="56" t="s">
        <v>1866</v>
      </c>
      <c r="G22" s="56" t="str">
        <f t="shared" si="3"/>
        <v>text</v>
      </c>
      <c r="H22" s="59"/>
      <c r="I22" s="60"/>
      <c r="J22" s="64"/>
      <c r="N22" s="78"/>
      <c r="O22" s="78"/>
      <c r="P22" s="78" t="str">
        <f t="shared" si="4"/>
        <v>,tm_code_id</v>
      </c>
      <c r="Q22" s="78" t="str">
        <f t="shared" si="0"/>
        <v>TEXT</v>
      </c>
      <c r="R22" s="78" t="str">
        <f t="shared" si="1"/>
        <v/>
      </c>
      <c r="S22" s="78" t="str">
        <f t="shared" si="5"/>
        <v/>
      </c>
      <c r="T22" s="78" t="str">
        <f t="shared" si="6"/>
        <v>-- 検査コメントコードID</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milscm_2023_010.azn_202310_backup_text_mml_mmlrp_test_memo.tm_code_id IS '検査コメントコードID';</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800-000000000000}"/>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ENT_01_A6-52</v>
      </c>
      <c r="E6" s="239"/>
      <c r="F6" s="239"/>
      <c r="G6" s="239"/>
      <c r="H6" s="239"/>
      <c r="I6" s="239"/>
      <c r="J6" s="240"/>
    </row>
    <row r="7" spans="1:45">
      <c r="B7" s="228" t="s">
        <v>115</v>
      </c>
      <c r="C7" s="229"/>
      <c r="D7" s="230" t="s">
        <v>3264</v>
      </c>
      <c r="E7" s="231"/>
      <c r="F7" s="231"/>
      <c r="G7" s="231"/>
      <c r="H7" s="231"/>
      <c r="I7" s="231"/>
      <c r="J7" s="232"/>
    </row>
    <row r="8" spans="1:45">
      <c r="B8" s="228" t="s">
        <v>116</v>
      </c>
      <c r="C8" s="229"/>
      <c r="D8" s="230" t="str">
        <f>エンティティ一覧!AE2&amp;"_"&amp;D5&amp;"_text_mml_mmlls_body"</f>
        <v>azn_202310_backup_text_mml_mmlls_body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milscm_2023_010.azn_202310_backup_text_mml_mmlls_body;</v>
      </c>
      <c r="O10" s="78"/>
      <c r="P10" s="78"/>
      <c r="Q10" s="78"/>
      <c r="R10" s="78"/>
      <c r="S10" s="78"/>
      <c r="T10" s="78"/>
      <c r="AJ10" s="78" t="str">
        <f>"ALTER TABLE ONLY "&amp;エンティティ一覧!$O$2&amp;"."&amp;D$8</f>
        <v>ALTER TABLE ONLY milscm_2023_010.azn_202310_backup_text_mml_mmlls_body</v>
      </c>
      <c r="AS10" s="78" t="str">
        <f>"ALTER TABLE "&amp;エンティティ一覧!$O$2&amp;"."&amp;D$8&amp;" OWNER TO pgmisgrp1;"</f>
        <v>ALTER TABLE milscm_2023_010.azn_202310_backup_text_mml_mmlls_body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milscm_2023_010.azn_202310_backup_text_mml_mmlls_body</v>
      </c>
      <c r="O11" s="78"/>
      <c r="P11" s="78"/>
      <c r="Q11" s="78"/>
      <c r="R11" s="78"/>
      <c r="S11" s="78"/>
      <c r="T11" s="78"/>
      <c r="AJ11" s="78" t="str">
        <f>"ADD CONSTRAINT "&amp;D$8&amp;"_pkey PRIMARY KEY"</f>
        <v>ADD CONSTRAINT azn_202310_backup_text_mml_mmlls_body_pkey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milscm_2023_010.azn_202310_backup_text_mml_mmlls_body IS 'バックアップ_MML_生活習慣情報モジュール_本文';</v>
      </c>
    </row>
    <row r="13" spans="1:45" s="25" customFormat="1">
      <c r="A13" s="4"/>
      <c r="B13" s="21">
        <f>ROW()-12</f>
        <v>1</v>
      </c>
      <c r="C13" s="6" t="s">
        <v>2825</v>
      </c>
      <c r="D13" s="6" t="s">
        <v>2826</v>
      </c>
      <c r="E13" s="8" t="s">
        <v>127</v>
      </c>
      <c r="F13" s="8" t="s">
        <v>3322</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milscm_2023_010.azn_202310_backup_text_mml_mmlls_body.zip_no IS 'ZipファイルNo';</v>
      </c>
    </row>
    <row r="14" spans="1:45" s="25" customFormat="1">
      <c r="A14" s="4"/>
      <c r="B14" s="21">
        <f t="shared" ref="B14:B20" si="2">ROW()-12</f>
        <v>2</v>
      </c>
      <c r="C14" s="6" t="s">
        <v>2828</v>
      </c>
      <c r="D14" s="6" t="s">
        <v>2829</v>
      </c>
      <c r="E14" s="8" t="s">
        <v>127</v>
      </c>
      <c r="F14" s="7" t="s">
        <v>3322</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milscm_2023_010.azn_202310_backup_text_mml_mmlls_body.file_no IS 'ファイルNo';</v>
      </c>
    </row>
    <row r="15" spans="1:45" s="25" customFormat="1">
      <c r="A15" s="4"/>
      <c r="B15" s="21">
        <f t="shared" si="2"/>
        <v>3</v>
      </c>
      <c r="C15" s="6" t="s">
        <v>3306</v>
      </c>
      <c r="D15" s="6" t="s">
        <v>2831</v>
      </c>
      <c r="E15" s="8" t="s">
        <v>127</v>
      </c>
      <c r="F15" s="7" t="s">
        <v>3322</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milscm_2023_010.azn_202310_backup_text_mml_mmlls_body.body_no IS '本文No';</v>
      </c>
    </row>
    <row r="16" spans="1:45" s="25" customFormat="1">
      <c r="A16" s="4"/>
      <c r="B16" s="21">
        <f t="shared" si="2"/>
        <v>4</v>
      </c>
      <c r="C16" s="6" t="s">
        <v>3323</v>
      </c>
      <c r="D16" s="6" t="s">
        <v>2448</v>
      </c>
      <c r="E16" s="8"/>
      <c r="F16" s="7" t="s">
        <v>3324</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milscm_2023_010.azn_202310_backup_text_mml_mmlls_body.facility_id_mml IS '施設ID（MML）';</v>
      </c>
    </row>
    <row r="17" spans="1:52" s="25" customFormat="1">
      <c r="A17" s="4"/>
      <c r="B17" s="21">
        <f t="shared" si="2"/>
        <v>5</v>
      </c>
      <c r="C17" s="6" t="s">
        <v>2833</v>
      </c>
      <c r="D17" s="6" t="s">
        <v>1291</v>
      </c>
      <c r="E17" s="8"/>
      <c r="F17" s="7" t="s">
        <v>3324</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milscm_2023_010.azn_202310_backup_text_mml_mmlls_body.master_id IS '患者ID';</v>
      </c>
    </row>
    <row r="18" spans="1:52" s="25" customFormat="1">
      <c r="A18" s="4"/>
      <c r="B18" s="21">
        <f t="shared" si="2"/>
        <v>6</v>
      </c>
      <c r="C18" s="6" t="s">
        <v>3055</v>
      </c>
      <c r="D18" s="6" t="s">
        <v>3056</v>
      </c>
      <c r="E18" s="8"/>
      <c r="F18" s="7" t="s">
        <v>3324</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milscm_2023_010.azn_202310_backup_text_mml_mmlls_body.occupation IS '職業';</v>
      </c>
    </row>
    <row r="19" spans="1:52" s="25" customFormat="1">
      <c r="A19" s="4"/>
      <c r="B19" s="21">
        <f t="shared" si="2"/>
        <v>7</v>
      </c>
      <c r="C19" s="6" t="s">
        <v>3330</v>
      </c>
      <c r="D19" s="6" t="s">
        <v>3325</v>
      </c>
      <c r="E19" s="8"/>
      <c r="F19" s="7" t="s">
        <v>3324</v>
      </c>
      <c r="G19" s="7" t="str">
        <f t="shared" si="3"/>
        <v>text</v>
      </c>
      <c r="H19" s="26"/>
      <c r="I19" s="10"/>
      <c r="J19" s="11"/>
      <c r="M19" s="4"/>
      <c r="N19" s="78"/>
      <c r="O19" s="78"/>
      <c r="P19" s="78" t="str">
        <f t="shared" si="4"/>
        <v>,tobacco</v>
      </c>
      <c r="Q19" s="78" t="str">
        <f t="shared" si="0"/>
        <v>TEXT</v>
      </c>
      <c r="R19" s="78" t="str">
        <f t="shared" si="1"/>
        <v/>
      </c>
      <c r="S19" s="78" t="str">
        <f t="shared" si="5"/>
        <v/>
      </c>
      <c r="T19" s="78" t="str">
        <f t="shared" si="6"/>
        <v>-- 喫煙歴</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milscm_2023_010.azn_202310_backup_text_mml_mmlls_body.tobacco IS '喫煙歴';</v>
      </c>
    </row>
    <row r="20" spans="1:52" s="25" customFormat="1">
      <c r="A20" s="4"/>
      <c r="B20" s="21">
        <f t="shared" si="2"/>
        <v>8</v>
      </c>
      <c r="C20" s="6" t="s">
        <v>3326</v>
      </c>
      <c r="D20" s="6" t="s">
        <v>3327</v>
      </c>
      <c r="E20" s="8"/>
      <c r="F20" s="7" t="s">
        <v>3324</v>
      </c>
      <c r="G20" s="7" t="str">
        <f t="shared" si="3"/>
        <v>text</v>
      </c>
      <c r="H20" s="26"/>
      <c r="I20" s="10"/>
      <c r="J20" s="11"/>
      <c r="M20" s="4"/>
      <c r="N20" s="78"/>
      <c r="O20" s="78"/>
      <c r="P20" s="78" t="str">
        <f t="shared" si="4"/>
        <v>,alcohol</v>
      </c>
      <c r="Q20" s="78" t="str">
        <f t="shared" si="0"/>
        <v>TEXT</v>
      </c>
      <c r="R20" s="78" t="str">
        <f t="shared" si="1"/>
        <v/>
      </c>
      <c r="S20" s="78" t="str">
        <f t="shared" si="5"/>
        <v/>
      </c>
      <c r="T20" s="78" t="str">
        <f t="shared" si="6"/>
        <v>-- 飲酒歴</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milscm_2023_010.azn_202310_backup_text_mml_mmlls_body.alcohol IS '飲酒歴';</v>
      </c>
    </row>
    <row r="21" spans="1:52" s="25" customFormat="1" ht="19.5" thickBot="1">
      <c r="A21" s="4"/>
      <c r="B21" s="27">
        <f>ROW()-12</f>
        <v>9</v>
      </c>
      <c r="C21" s="57" t="s">
        <v>3328</v>
      </c>
      <c r="D21" s="57" t="s">
        <v>3329</v>
      </c>
      <c r="E21" s="56"/>
      <c r="F21" s="56" t="s">
        <v>3324</v>
      </c>
      <c r="G21" s="56" t="str">
        <f t="shared" si="3"/>
        <v>text</v>
      </c>
      <c r="H21" s="59"/>
      <c r="I21" s="60"/>
      <c r="J21" s="64"/>
      <c r="N21" s="78"/>
      <c r="O21" s="78"/>
      <c r="P21" s="78" t="str">
        <f t="shared" si="4"/>
        <v>,other</v>
      </c>
      <c r="Q21" s="78" t="str">
        <f t="shared" si="0"/>
        <v>TEXT</v>
      </c>
      <c r="R21" s="78" t="str">
        <f t="shared" si="1"/>
        <v/>
      </c>
      <c r="S21" s="78" t="str">
        <f t="shared" si="5"/>
        <v/>
      </c>
      <c r="T21" s="78" t="str">
        <f t="shared" si="6"/>
        <v>-- その他の生活習慣</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milscm_2023_010.azn_202310_backup_text_mml_mmlls_body.other IS 'その他の生活習慣';</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900-000000000000}"/>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AZ3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ENT_01_A6-53</v>
      </c>
      <c r="E6" s="239"/>
      <c r="F6" s="239"/>
      <c r="G6" s="239"/>
      <c r="H6" s="239"/>
      <c r="I6" s="239"/>
      <c r="J6" s="240"/>
    </row>
    <row r="7" spans="1:45">
      <c r="B7" s="228" t="s">
        <v>115</v>
      </c>
      <c r="C7" s="229"/>
      <c r="D7" s="230" t="s">
        <v>3054</v>
      </c>
      <c r="E7" s="231"/>
      <c r="F7" s="231"/>
      <c r="G7" s="231"/>
      <c r="H7" s="231"/>
      <c r="I7" s="231"/>
      <c r="J7" s="232"/>
    </row>
    <row r="8" spans="1:45">
      <c r="B8" s="228" t="s">
        <v>116</v>
      </c>
      <c r="C8" s="229"/>
      <c r="D8" s="230" t="str">
        <f>エンティティ一覧!AE2&amp;"_"&amp;D5&amp;"_text_mml_mmlre_body"</f>
        <v>azn_202310_backup_text_mml_mmlre_body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milscm_2023_010.azn_202310_backup_text_mml_mmlre_body;</v>
      </c>
      <c r="O10" s="78"/>
      <c r="P10" s="78"/>
      <c r="Q10" s="78"/>
      <c r="R10" s="78"/>
      <c r="S10" s="78"/>
      <c r="T10" s="78"/>
      <c r="AJ10" s="78" t="str">
        <f>"ALTER TABLE ONLY "&amp;エンティティ一覧!$O$2&amp;"."&amp;D$8</f>
        <v>ALTER TABLE ONLY milscm_2023_010.azn_202310_backup_text_mml_mmlre_body</v>
      </c>
      <c r="AS10" s="78" t="str">
        <f>"ALTER TABLE "&amp;エンティティ一覧!$O$2&amp;"."&amp;D$8&amp;" OWNER TO pgmisgrp1;"</f>
        <v>ALTER TABLE milscm_2023_010.azn_202310_backup_text_mml_mmlre_body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milscm_2023_010.azn_202310_backup_text_mml_mmlre_body</v>
      </c>
      <c r="O11" s="78"/>
      <c r="P11" s="78"/>
      <c r="Q11" s="78"/>
      <c r="R11" s="78"/>
      <c r="S11" s="78"/>
      <c r="T11" s="78"/>
      <c r="AJ11" s="78" t="str">
        <f>"ADD CONSTRAINT "&amp;D$8&amp;"_pkey PRIMARY KEY"</f>
        <v>ADD CONSTRAINT azn_202310_backup_text_mml_mmlre_body_pkey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milscm_2023_010.azn_202310_backup_text_mml_mmlre_body IS 'バックアップ_MML_紹介状モジュール_本文';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4" si="0">UPPER(G13)</f>
        <v>INTEGER</v>
      </c>
      <c r="R13" s="78" t="str">
        <f t="shared" ref="R13:R34"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milscm_2023_010.azn_202310_backup_text_mml_mmlre_body.zip_no IS 'ZipファイルNo';</v>
      </c>
    </row>
    <row r="14" spans="1:45" s="25" customFormat="1">
      <c r="A14" s="4"/>
      <c r="B14" s="21">
        <f t="shared" ref="B14:B33" si="2">ROW()-12</f>
        <v>2</v>
      </c>
      <c r="C14" s="6" t="s">
        <v>2828</v>
      </c>
      <c r="D14" s="6" t="s">
        <v>2829</v>
      </c>
      <c r="E14" s="8" t="s">
        <v>127</v>
      </c>
      <c r="F14" s="7" t="s">
        <v>2827</v>
      </c>
      <c r="G14" s="7" t="str">
        <f t="shared" ref="G14:G34" si="3">IF(F14="フラグ","boolean",IF(F14="文字列","text",IF(F14="整数","integer",IF(F14="実数","numeric",""))))</f>
        <v>integer</v>
      </c>
      <c r="H14" s="26"/>
      <c r="I14" s="10" t="s">
        <v>127</v>
      </c>
      <c r="J14" s="11"/>
      <c r="M14" s="4"/>
      <c r="N14" s="78"/>
      <c r="O14" s="78"/>
      <c r="P14" s="78" t="str">
        <f t="shared" ref="P14:P34" si="4">IF(B14&lt;&gt;1,","&amp;D14,D14)</f>
        <v>,file_no</v>
      </c>
      <c r="Q14" s="78" t="str">
        <f t="shared" si="0"/>
        <v>INTEGER</v>
      </c>
      <c r="R14" s="78" t="str">
        <f t="shared" si="1"/>
        <v/>
      </c>
      <c r="S14" s="78" t="str">
        <f t="shared" ref="S14:S34" si="5">IF(I14="○","NOT NULL","")</f>
        <v>NOT NULL</v>
      </c>
      <c r="T14" s="78" t="str">
        <f t="shared" ref="T14:T34"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milscm_2023_010.azn_202310_backup_text_mml_mmlre_body.facility_id_mml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milscm_2023_010.azn_202310_backup_text_mml_mmlre_body.master_id IS '患者ID';</v>
      </c>
    </row>
    <row r="18" spans="1:45" s="25" customFormat="1">
      <c r="A18" s="4"/>
      <c r="B18" s="21">
        <f t="shared" si="2"/>
        <v>6</v>
      </c>
      <c r="C18" s="6" t="s">
        <v>3055</v>
      </c>
      <c r="D18" s="6" t="s">
        <v>3056</v>
      </c>
      <c r="E18" s="8"/>
      <c r="F18" s="7" t="s">
        <v>1866</v>
      </c>
      <c r="G18" s="7" t="str">
        <f t="shared" si="3"/>
        <v>text</v>
      </c>
      <c r="H18" s="26"/>
      <c r="I18" s="10"/>
      <c r="J18" s="11"/>
      <c r="M18" s="4"/>
      <c r="N18" s="78"/>
      <c r="O18" s="78"/>
      <c r="P18" s="78" t="str">
        <f t="shared" si="4"/>
        <v>,occupation</v>
      </c>
      <c r="Q18" s="78" t="str">
        <f t="shared" si="0"/>
        <v>TEXT</v>
      </c>
      <c r="R18" s="78" t="str">
        <f t="shared" si="1"/>
        <v/>
      </c>
      <c r="S18" s="78" t="str">
        <f t="shared" si="5"/>
        <v/>
      </c>
      <c r="T18" s="78" t="str">
        <f t="shared" si="6"/>
        <v>-- 職業</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milscm_2023_010.azn_202310_backup_text_mml_mmlre_body.occupation IS '職業';</v>
      </c>
    </row>
    <row r="19" spans="1:45" s="25" customFormat="1">
      <c r="A19" s="4"/>
      <c r="B19" s="21">
        <f t="shared" si="2"/>
        <v>7</v>
      </c>
      <c r="C19" s="6" t="s">
        <v>3057</v>
      </c>
      <c r="D19" s="6" t="s">
        <v>3058</v>
      </c>
      <c r="E19" s="8"/>
      <c r="F19" s="7" t="s">
        <v>740</v>
      </c>
      <c r="G19" s="7" t="str">
        <f t="shared" si="3"/>
        <v>text</v>
      </c>
      <c r="H19" s="26"/>
      <c r="I19" s="10"/>
      <c r="J19" s="11"/>
      <c r="M19" s="4"/>
      <c r="N19" s="78"/>
      <c r="O19" s="78"/>
      <c r="P19" s="78" t="str">
        <f t="shared" si="4"/>
        <v>,refer_from_facility_name</v>
      </c>
      <c r="Q19" s="78" t="str">
        <f t="shared" si="0"/>
        <v>TEXT</v>
      </c>
      <c r="R19" s="78" t="str">
        <f t="shared" si="1"/>
        <v/>
      </c>
      <c r="S19" s="78" t="str">
        <f t="shared" si="5"/>
        <v/>
      </c>
      <c r="T19" s="78" t="str">
        <f t="shared" si="6"/>
        <v>-- 紹介元施設</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milscm_2023_010.azn_202310_backup_text_mml_mmlre_body.refer_from_facility_name IS '紹介元施設';</v>
      </c>
    </row>
    <row r="20" spans="1:45" s="25" customFormat="1">
      <c r="A20" s="4"/>
      <c r="B20" s="21">
        <f t="shared" si="2"/>
        <v>8</v>
      </c>
      <c r="C20" s="6" t="s">
        <v>3059</v>
      </c>
      <c r="D20" s="6" t="s">
        <v>2982</v>
      </c>
      <c r="E20" s="8"/>
      <c r="F20" s="7" t="s">
        <v>740</v>
      </c>
      <c r="G20" s="7" t="str">
        <f t="shared" si="3"/>
        <v>text</v>
      </c>
      <c r="H20" s="26"/>
      <c r="I20" s="10"/>
      <c r="J20" s="11"/>
      <c r="M20" s="4"/>
      <c r="N20" s="78"/>
      <c r="O20" s="78"/>
      <c r="P20" s="78" t="str">
        <f t="shared" si="4"/>
        <v>,title</v>
      </c>
      <c r="Q20" s="78" t="str">
        <f t="shared" si="0"/>
        <v>TEXT</v>
      </c>
      <c r="R20" s="78" t="str">
        <f t="shared" si="1"/>
        <v/>
      </c>
      <c r="S20" s="78" t="str">
        <f t="shared" si="5"/>
        <v/>
      </c>
      <c r="T20" s="78" t="str">
        <f t="shared" si="6"/>
        <v>-- タイトル</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milscm_2023_010.azn_202310_backup_text_mml_mmlre_body.title IS 'タイトル';</v>
      </c>
    </row>
    <row r="21" spans="1:45" s="25" customFormat="1">
      <c r="A21" s="4"/>
      <c r="B21" s="21">
        <f t="shared" si="2"/>
        <v>9</v>
      </c>
      <c r="C21" s="6" t="s">
        <v>3060</v>
      </c>
      <c r="D21" s="6" t="s">
        <v>3061</v>
      </c>
      <c r="E21" s="8"/>
      <c r="F21" s="7" t="s">
        <v>740</v>
      </c>
      <c r="G21" s="7" t="str">
        <f t="shared" ref="G21:G33" si="7">IF(F21="フラグ","boolean",IF(F21="文字列","text",IF(F21="整数","integer",IF(F21="実数","numeric",""))))</f>
        <v>text</v>
      </c>
      <c r="H21" s="26"/>
      <c r="I21" s="10"/>
      <c r="J21" s="11"/>
      <c r="M21" s="4"/>
      <c r="N21" s="78"/>
      <c r="O21" s="78"/>
      <c r="P21" s="78" t="str">
        <f t="shared" ref="P21:P33" si="8">IF(B21&lt;&gt;1,","&amp;D21,D21)</f>
        <v>,greeting</v>
      </c>
      <c r="Q21" s="78" t="str">
        <f t="shared" ref="Q21:Q33" si="9">UPPER(G21)</f>
        <v>TEXT</v>
      </c>
      <c r="R21" s="78" t="str">
        <f t="shared" ref="R21:R33" si="10">IF(H21&lt;&gt;"","default "&amp;IF(G21="text","'"&amp;H21&amp;"'",H21),"")</f>
        <v/>
      </c>
      <c r="S21" s="78" t="str">
        <f t="shared" ref="S21:S33" si="11">IF(I21="○","NOT NULL","")</f>
        <v/>
      </c>
      <c r="T21" s="78" t="str">
        <f t="shared" ref="T21:T33" si="12">"-- "&amp;C21</f>
        <v>-- 挨拶文</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milscm_2023_010.azn_202310_backup_text_mml_mmlre_body.greeting IS '挨拶文';</v>
      </c>
    </row>
    <row r="22" spans="1:45" s="25" customFormat="1">
      <c r="A22" s="4"/>
      <c r="B22" s="21">
        <f t="shared" si="2"/>
        <v>10</v>
      </c>
      <c r="C22" s="6" t="s">
        <v>1490</v>
      </c>
      <c r="D22" s="6" t="s">
        <v>1491</v>
      </c>
      <c r="E22" s="8"/>
      <c r="F22" s="7" t="s">
        <v>740</v>
      </c>
      <c r="G22" s="7" t="str">
        <f t="shared" si="7"/>
        <v>text</v>
      </c>
      <c r="H22" s="26"/>
      <c r="I22" s="10"/>
      <c r="J22" s="11"/>
      <c r="M22" s="4"/>
      <c r="N22" s="78"/>
      <c r="O22" s="78"/>
      <c r="P22" s="78" t="str">
        <f t="shared" si="8"/>
        <v>,chief_complaints</v>
      </c>
      <c r="Q22" s="78" t="str">
        <f t="shared" si="9"/>
        <v>TEXT</v>
      </c>
      <c r="R22" s="78" t="str">
        <f t="shared" si="10"/>
        <v/>
      </c>
      <c r="S22" s="78" t="str">
        <f t="shared" si="11"/>
        <v/>
      </c>
      <c r="T22" s="78" t="str">
        <f t="shared" si="12"/>
        <v>-- 主訴</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milscm_2023_010.azn_202310_backup_text_mml_mmlre_body.chief_complaints IS '主訴';</v>
      </c>
    </row>
    <row r="23" spans="1:45" s="25" customFormat="1">
      <c r="A23" s="4"/>
      <c r="B23" s="21">
        <f t="shared" si="2"/>
        <v>11</v>
      </c>
      <c r="C23" s="6" t="s">
        <v>1366</v>
      </c>
      <c r="D23" s="6" t="s">
        <v>3062</v>
      </c>
      <c r="E23" s="8"/>
      <c r="F23" s="7" t="s">
        <v>740</v>
      </c>
      <c r="G23" s="7" t="str">
        <f t="shared" si="7"/>
        <v>text</v>
      </c>
      <c r="H23" s="26"/>
      <c r="I23" s="10"/>
      <c r="J23" s="11"/>
      <c r="M23" s="4"/>
      <c r="N23" s="78"/>
      <c r="O23" s="78"/>
      <c r="P23" s="78" t="str">
        <f t="shared" si="8"/>
        <v>,clinical_diagnosis</v>
      </c>
      <c r="Q23" s="78" t="str">
        <f t="shared" si="9"/>
        <v>TEXT</v>
      </c>
      <c r="R23" s="78" t="str">
        <f t="shared" si="10"/>
        <v/>
      </c>
      <c r="S23" s="78" t="str">
        <f t="shared" si="11"/>
        <v/>
      </c>
      <c r="T23" s="78" t="str">
        <f t="shared" si="12"/>
        <v>-- 病名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milscm_2023_010.azn_202310_backup_text_mml_mmlre_body.clinical_diagnosis IS '病名';</v>
      </c>
    </row>
    <row r="24" spans="1:45" s="25" customFormat="1">
      <c r="A24" s="4"/>
      <c r="B24" s="21">
        <f t="shared" si="2"/>
        <v>12</v>
      </c>
      <c r="C24" s="6" t="s">
        <v>3063</v>
      </c>
      <c r="D24" s="6" t="s">
        <v>3064</v>
      </c>
      <c r="E24" s="8"/>
      <c r="F24" s="7" t="s">
        <v>740</v>
      </c>
      <c r="G24" s="7" t="str">
        <f t="shared" si="7"/>
        <v>text</v>
      </c>
      <c r="H24" s="26"/>
      <c r="I24" s="10"/>
      <c r="J24" s="11"/>
      <c r="M24" s="4"/>
      <c r="N24" s="78"/>
      <c r="O24" s="78"/>
      <c r="P24" s="78" t="str">
        <f t="shared" si="8"/>
        <v>,past_history</v>
      </c>
      <c r="Q24" s="78" t="str">
        <f t="shared" si="9"/>
        <v>TEXT</v>
      </c>
      <c r="R24" s="78" t="str">
        <f t="shared" si="10"/>
        <v/>
      </c>
      <c r="S24" s="78" t="str">
        <f t="shared" si="11"/>
        <v/>
      </c>
      <c r="T24" s="78" t="str">
        <f t="shared" si="12"/>
        <v>-- 既往歴</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milscm_2023_010.azn_202310_backup_text_mml_mmlre_body.past_history IS '既往歴';</v>
      </c>
    </row>
    <row r="25" spans="1:45" s="25" customFormat="1">
      <c r="A25" s="4"/>
      <c r="B25" s="21">
        <f t="shared" si="2"/>
        <v>13</v>
      </c>
      <c r="C25" s="6" t="s">
        <v>3065</v>
      </c>
      <c r="D25" s="6" t="s">
        <v>3066</v>
      </c>
      <c r="E25" s="8"/>
      <c r="F25" s="7" t="s">
        <v>740</v>
      </c>
      <c r="G25" s="7" t="str">
        <f t="shared" si="7"/>
        <v>text</v>
      </c>
      <c r="H25" s="26"/>
      <c r="I25" s="10"/>
      <c r="J25" s="11"/>
      <c r="M25" s="4"/>
      <c r="N25" s="78"/>
      <c r="O25" s="78"/>
      <c r="P25" s="78" t="str">
        <f t="shared" si="8"/>
        <v>,family_history</v>
      </c>
      <c r="Q25" s="78" t="str">
        <f t="shared" si="9"/>
        <v>TEXT</v>
      </c>
      <c r="R25" s="78" t="str">
        <f t="shared" si="10"/>
        <v/>
      </c>
      <c r="S25" s="78" t="str">
        <f t="shared" si="11"/>
        <v/>
      </c>
      <c r="T25" s="78" t="str">
        <f t="shared" si="12"/>
        <v>-- 家族歴</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milscm_2023_010.azn_202310_backup_text_mml_mmlre_body.family_history IS '家族歴';</v>
      </c>
    </row>
    <row r="26" spans="1:45" s="25" customFormat="1">
      <c r="A26" s="4"/>
      <c r="B26" s="21">
        <f t="shared" si="2"/>
        <v>14</v>
      </c>
      <c r="C26" s="6" t="s">
        <v>3067</v>
      </c>
      <c r="D26" s="6" t="s">
        <v>3068</v>
      </c>
      <c r="E26" s="8"/>
      <c r="F26" s="7" t="s">
        <v>740</v>
      </c>
      <c r="G26" s="7" t="str">
        <f t="shared" si="7"/>
        <v>text</v>
      </c>
      <c r="H26" s="26"/>
      <c r="I26" s="10"/>
      <c r="J26" s="11"/>
      <c r="M26" s="4"/>
      <c r="N26" s="78"/>
      <c r="O26" s="78"/>
      <c r="P26" s="78" t="str">
        <f t="shared" si="8"/>
        <v>,present_illness</v>
      </c>
      <c r="Q26" s="78" t="str">
        <f t="shared" si="9"/>
        <v>TEXT</v>
      </c>
      <c r="R26" s="78" t="str">
        <f t="shared" si="10"/>
        <v/>
      </c>
      <c r="S26" s="78" t="str">
        <f t="shared" si="11"/>
        <v/>
      </c>
      <c r="T26" s="78" t="str">
        <f t="shared" si="12"/>
        <v>-- 症状経過</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milscm_2023_010.azn_202310_backup_text_mml_mmlre_body.present_illness IS '症状経過';</v>
      </c>
    </row>
    <row r="27" spans="1:45" s="25" customFormat="1">
      <c r="A27" s="4"/>
      <c r="B27" s="21">
        <f t="shared" si="2"/>
        <v>15</v>
      </c>
      <c r="C27" s="6" t="s">
        <v>3069</v>
      </c>
      <c r="D27" s="6" t="s">
        <v>3070</v>
      </c>
      <c r="E27" s="8"/>
      <c r="F27" s="7" t="s">
        <v>740</v>
      </c>
      <c r="G27" s="7" t="str">
        <f t="shared" si="7"/>
        <v>text</v>
      </c>
      <c r="H27" s="26"/>
      <c r="I27" s="10"/>
      <c r="J27" s="11"/>
      <c r="M27" s="4"/>
      <c r="N27" s="78"/>
      <c r="O27" s="78"/>
      <c r="P27" s="78" t="str">
        <f t="shared" si="8"/>
        <v>,test_results</v>
      </c>
      <c r="Q27" s="78" t="str">
        <f t="shared" si="9"/>
        <v>TEXT</v>
      </c>
      <c r="R27" s="78" t="str">
        <f t="shared" si="10"/>
        <v/>
      </c>
      <c r="S27" s="78" t="str">
        <f t="shared" si="11"/>
        <v/>
      </c>
      <c r="T27" s="78" t="str">
        <f t="shared" si="12"/>
        <v>-- 検査結果</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milscm_2023_010.azn_202310_backup_text_mml_mmlre_body.test_results IS '検査結果';</v>
      </c>
    </row>
    <row r="28" spans="1:45" s="25" customFormat="1">
      <c r="A28" s="4"/>
      <c r="B28" s="21">
        <f t="shared" si="2"/>
        <v>16</v>
      </c>
      <c r="C28" s="6" t="s">
        <v>3071</v>
      </c>
      <c r="D28" s="6" t="s">
        <v>3072</v>
      </c>
      <c r="E28" s="8"/>
      <c r="F28" s="7" t="s">
        <v>740</v>
      </c>
      <c r="G28" s="7" t="str">
        <f t="shared" si="7"/>
        <v>text</v>
      </c>
      <c r="H28" s="26"/>
      <c r="I28" s="10"/>
      <c r="J28" s="11"/>
      <c r="M28" s="4"/>
      <c r="N28" s="78"/>
      <c r="O28" s="78"/>
      <c r="P28" s="78" t="str">
        <f t="shared" si="8"/>
        <v>,medication</v>
      </c>
      <c r="Q28" s="78" t="str">
        <f t="shared" si="9"/>
        <v>TEXT</v>
      </c>
      <c r="R28" s="78" t="str">
        <f t="shared" si="10"/>
        <v/>
      </c>
      <c r="S28" s="78" t="str">
        <f t="shared" si="11"/>
        <v/>
      </c>
      <c r="T28" s="78" t="str">
        <f t="shared" si="12"/>
        <v>-- 現在の処方</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milscm_2023_010.azn_202310_backup_text_mml_mmlre_body.medication IS '現在の処方';</v>
      </c>
    </row>
    <row r="29" spans="1:45" s="25" customFormat="1">
      <c r="A29" s="4"/>
      <c r="B29" s="21">
        <f t="shared" si="2"/>
        <v>17</v>
      </c>
      <c r="C29" s="6" t="s">
        <v>3073</v>
      </c>
      <c r="D29" s="6" t="s">
        <v>3074</v>
      </c>
      <c r="E29" s="8"/>
      <c r="F29" s="7" t="s">
        <v>740</v>
      </c>
      <c r="G29" s="7" t="str">
        <f t="shared" si="7"/>
        <v>text</v>
      </c>
      <c r="H29" s="26"/>
      <c r="I29" s="10"/>
      <c r="J29" s="11"/>
      <c r="M29" s="4"/>
      <c r="N29" s="78"/>
      <c r="O29" s="78"/>
      <c r="P29" s="78" t="str">
        <f t="shared" si="8"/>
        <v>,refer_purpose</v>
      </c>
      <c r="Q29" s="78" t="str">
        <f t="shared" si="9"/>
        <v>TEXT</v>
      </c>
      <c r="R29" s="78" t="str">
        <f t="shared" si="10"/>
        <v/>
      </c>
      <c r="S29" s="78" t="str">
        <f t="shared" si="11"/>
        <v/>
      </c>
      <c r="T29" s="78" t="str">
        <f t="shared" si="12"/>
        <v>-- 紹介目的</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milscm_2023_010.azn_202310_backup_text_mml_mmlre_body.refer_purpose IS '紹介目的';</v>
      </c>
    </row>
    <row r="30" spans="1:45" s="25" customFormat="1">
      <c r="A30" s="4"/>
      <c r="B30" s="21">
        <f t="shared" si="2"/>
        <v>18</v>
      </c>
      <c r="C30" s="6" t="s">
        <v>2089</v>
      </c>
      <c r="D30" s="6" t="s">
        <v>3075</v>
      </c>
      <c r="E30" s="8"/>
      <c r="F30" s="7" t="s">
        <v>740</v>
      </c>
      <c r="G30" s="7" t="str">
        <f t="shared" si="7"/>
        <v>text</v>
      </c>
      <c r="H30" s="26"/>
      <c r="I30" s="10"/>
      <c r="J30" s="11"/>
      <c r="M30" s="4"/>
      <c r="N30" s="78"/>
      <c r="O30" s="78"/>
      <c r="P30" s="78" t="str">
        <f t="shared" si="8"/>
        <v>,remarks</v>
      </c>
      <c r="Q30" s="78" t="str">
        <f t="shared" si="9"/>
        <v>TEXT</v>
      </c>
      <c r="R30" s="78" t="str">
        <f t="shared" si="10"/>
        <v/>
      </c>
      <c r="S30" s="78" t="str">
        <f t="shared" si="11"/>
        <v/>
      </c>
      <c r="T30" s="78" t="str">
        <f t="shared" si="12"/>
        <v>-- 備考</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milscm_2023_010.azn_202310_backup_text_mml_mmlre_body.remarks IS '備考';</v>
      </c>
    </row>
    <row r="31" spans="1:45" s="25" customFormat="1">
      <c r="A31" s="4"/>
      <c r="B31" s="21">
        <f t="shared" si="2"/>
        <v>19</v>
      </c>
      <c r="C31" s="6" t="s">
        <v>1552</v>
      </c>
      <c r="D31" s="6" t="s">
        <v>3076</v>
      </c>
      <c r="E31" s="8"/>
      <c r="F31" s="7" t="s">
        <v>740</v>
      </c>
      <c r="G31" s="7" t="str">
        <f t="shared" si="7"/>
        <v>text</v>
      </c>
      <c r="H31" s="26"/>
      <c r="I31" s="10"/>
      <c r="J31" s="11"/>
      <c r="M31" s="4"/>
      <c r="N31" s="78"/>
      <c r="O31" s="78"/>
      <c r="P31" s="78" t="str">
        <f t="shared" si="8"/>
        <v>,refer_to_facility_name</v>
      </c>
      <c r="Q31" s="78" t="str">
        <f t="shared" si="9"/>
        <v>TEXT</v>
      </c>
      <c r="R31" s="78" t="str">
        <f t="shared" si="10"/>
        <v/>
      </c>
      <c r="S31" s="78" t="str">
        <f t="shared" si="11"/>
        <v/>
      </c>
      <c r="T31" s="78" t="str">
        <f t="shared" si="12"/>
        <v>-- 紹介先施設</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milscm_2023_010.azn_202310_backup_text_mml_mmlre_body.refer_to_facility_name IS '紹介先施設';</v>
      </c>
    </row>
    <row r="32" spans="1:45" s="25" customFormat="1" ht="31.5">
      <c r="A32" s="4"/>
      <c r="B32" s="21">
        <f t="shared" si="2"/>
        <v>20</v>
      </c>
      <c r="C32" s="6" t="s">
        <v>3077</v>
      </c>
      <c r="D32" s="6" t="s">
        <v>3078</v>
      </c>
      <c r="E32" s="8"/>
      <c r="F32" s="7" t="s">
        <v>740</v>
      </c>
      <c r="G32" s="7" t="str">
        <f t="shared" si="7"/>
        <v>text</v>
      </c>
      <c r="H32" s="26"/>
      <c r="I32" s="10"/>
      <c r="J32" s="11"/>
      <c r="M32" s="4"/>
      <c r="N32" s="78"/>
      <c r="O32" s="78"/>
      <c r="P32" s="78" t="str">
        <f t="shared" si="8"/>
        <v>,refer_to_facility_name_department_name</v>
      </c>
      <c r="Q32" s="78" t="str">
        <f t="shared" si="9"/>
        <v>TEXT</v>
      </c>
      <c r="R32" s="78" t="str">
        <f t="shared" si="10"/>
        <v/>
      </c>
      <c r="S32" s="78" t="str">
        <f t="shared" si="11"/>
        <v/>
      </c>
      <c r="T32" s="78" t="str">
        <f t="shared" si="12"/>
        <v>-- 診療科名称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milscm_2023_010.azn_202310_backup_text_mml_mmlre_body.refer_to_facility_name_department_name IS '診療科名称';</v>
      </c>
    </row>
    <row r="33" spans="1:52" s="25" customFormat="1" ht="31.5">
      <c r="A33" s="4"/>
      <c r="B33" s="21">
        <f t="shared" si="2"/>
        <v>21</v>
      </c>
      <c r="C33" s="6" t="s">
        <v>3079</v>
      </c>
      <c r="D33" s="6" t="s">
        <v>3080</v>
      </c>
      <c r="E33" s="8"/>
      <c r="F33" s="7" t="s">
        <v>740</v>
      </c>
      <c r="G33" s="7" t="str">
        <f t="shared" si="7"/>
        <v>text</v>
      </c>
      <c r="H33" s="26"/>
      <c r="I33" s="10"/>
      <c r="J33" s="11"/>
      <c r="M33" s="4"/>
      <c r="N33" s="78"/>
      <c r="O33" s="78"/>
      <c r="P33" s="78" t="str">
        <f t="shared" si="8"/>
        <v>,refer_to_person_facility_name</v>
      </c>
      <c r="Q33" s="78" t="str">
        <f t="shared" si="9"/>
        <v>TEXT</v>
      </c>
      <c r="R33" s="78" t="str">
        <f t="shared" si="10"/>
        <v/>
      </c>
      <c r="S33" s="78" t="str">
        <f t="shared" si="11"/>
        <v/>
      </c>
      <c r="T33" s="78" t="str">
        <f t="shared" si="12"/>
        <v>-- 紹介先医師名の施設</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milscm_2023_010.azn_202310_backup_text_mml_mmlre_body.refer_to_person_facility_name IS '紹介先医師名の施設';</v>
      </c>
    </row>
    <row r="34" spans="1:52" s="25" customFormat="1" ht="19.5" thickBot="1">
      <c r="A34" s="4"/>
      <c r="B34" s="27">
        <f>ROW()-12</f>
        <v>22</v>
      </c>
      <c r="C34" s="57" t="s">
        <v>3081</v>
      </c>
      <c r="D34" s="57" t="s">
        <v>3082</v>
      </c>
      <c r="E34" s="56"/>
      <c r="F34" s="56" t="s">
        <v>740</v>
      </c>
      <c r="G34" s="56" t="str">
        <f t="shared" si="3"/>
        <v>text</v>
      </c>
      <c r="H34" s="59"/>
      <c r="I34" s="60"/>
      <c r="J34" s="64"/>
      <c r="N34" s="78"/>
      <c r="O34" s="78"/>
      <c r="P34" s="78" t="str">
        <f t="shared" si="4"/>
        <v>,refer_to_unknown_name</v>
      </c>
      <c r="Q34" s="78" t="str">
        <f t="shared" si="0"/>
        <v>TEXT</v>
      </c>
      <c r="R34" s="78" t="str">
        <f t="shared" si="1"/>
        <v/>
      </c>
      <c r="S34" s="78" t="str">
        <f t="shared" si="5"/>
        <v/>
      </c>
      <c r="T34" s="78" t="str">
        <f t="shared" si="6"/>
        <v>-- 医師名を指定しない相手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milscm_2023_010.azn_202310_backup_text_mml_mmlre_body.refer_to_unknown_name IS '医師名を指定しない相手';</v>
      </c>
    </row>
    <row r="35" spans="1:52">
      <c r="L35" s="25"/>
      <c r="M35" s="25"/>
      <c r="N35" s="78" t="s">
        <v>142</v>
      </c>
      <c r="O35" s="78"/>
      <c r="P35" s="78"/>
      <c r="Q35" s="78"/>
      <c r="R35" s="78"/>
      <c r="S35" s="78"/>
      <c r="T35" s="78"/>
      <c r="V35" s="25"/>
      <c r="W35" s="25"/>
      <c r="X35" s="25"/>
      <c r="Y35" s="25"/>
      <c r="Z35" s="25"/>
      <c r="AJ35" s="78"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A00-000000000000}"/>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AZ2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ENT_01_A6-54</v>
      </c>
      <c r="E6" s="239"/>
      <c r="F6" s="239"/>
      <c r="G6" s="239"/>
      <c r="H6" s="239"/>
      <c r="I6" s="239"/>
      <c r="J6" s="240"/>
    </row>
    <row r="7" spans="1:45">
      <c r="B7" s="228" t="s">
        <v>115</v>
      </c>
      <c r="C7" s="229"/>
      <c r="D7" s="230" t="s">
        <v>3083</v>
      </c>
      <c r="E7" s="231"/>
      <c r="F7" s="231"/>
      <c r="G7" s="231"/>
      <c r="H7" s="231"/>
      <c r="I7" s="231"/>
      <c r="J7" s="232"/>
    </row>
    <row r="8" spans="1:45">
      <c r="B8" s="228" t="s">
        <v>116</v>
      </c>
      <c r="C8" s="229"/>
      <c r="D8" s="230" t="str">
        <f>エンティティ一覧!AE2&amp;"_"&amp;D5&amp;"_text_mml_mmlre_inj"</f>
        <v>azn_202310_backup_text_mml_mmlre_inj</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milscm_2023_010.azn_202310_backup_text_mml_mmlre_inj;</v>
      </c>
      <c r="O10" s="78"/>
      <c r="P10" s="78"/>
      <c r="Q10" s="78"/>
      <c r="R10" s="78"/>
      <c r="S10" s="78"/>
      <c r="T10" s="78"/>
      <c r="AJ10" s="78" t="str">
        <f>"ALTER TABLE ONLY "&amp;エンティティ一覧!$O$2&amp;"."&amp;D$8</f>
        <v>ALTER TABLE ONLY milscm_2023_010.azn_202310_backup_text_mml_mmlre_inj</v>
      </c>
      <c r="AS10" s="78" t="str">
        <f>"ALTER TABLE "&amp;エンティティ一覧!$O$2&amp;"."&amp;D$8&amp;" OWNER TO pgmisgrp1;"</f>
        <v>ALTER TABLE milscm_2023_010.azn_202310_backup_text_mml_mmlre_inj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milscm_2023_010.azn_202310_backup_text_mml_mmlre_inj</v>
      </c>
      <c r="O11" s="78"/>
      <c r="P11" s="78"/>
      <c r="Q11" s="78"/>
      <c r="R11" s="78"/>
      <c r="S11" s="78"/>
      <c r="T11" s="78"/>
      <c r="AJ11" s="78" t="str">
        <f>"ADD CONSTRAINT "&amp;D$8&amp;"_pkey PRIMARY KEY"</f>
        <v>ADD CONSTRAINT azn_202310_backup_text_mml_mmlre_inj_pkey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 IS 'バックアップ_MML_紹介状モジュール_注射記録';</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19" si="0">UPPER(G13)</f>
        <v>INTEGER</v>
      </c>
      <c r="R13" s="78" t="str">
        <f t="shared" ref="R13:R1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milscm_2023_010.azn_202310_backup_text_mml_mmlre_inj.zip_no IS 'ZipファイルNo';</v>
      </c>
    </row>
    <row r="14" spans="1:45" s="25" customFormat="1">
      <c r="A14" s="4"/>
      <c r="B14" s="21">
        <f t="shared" ref="B14:B18" si="2">ROW()-12</f>
        <v>2</v>
      </c>
      <c r="C14" s="6" t="s">
        <v>2828</v>
      </c>
      <c r="D14" s="6" t="s">
        <v>2829</v>
      </c>
      <c r="E14" s="8" t="s">
        <v>127</v>
      </c>
      <c r="F14" s="7" t="s">
        <v>2827</v>
      </c>
      <c r="G14" s="7" t="str">
        <f t="shared" ref="G14:G19" si="3">IF(F14="フラグ","boolean",IF(F14="文字列","text",IF(F14="整数","integer",IF(F14="実数","numeric",""))))</f>
        <v>integer</v>
      </c>
      <c r="H14" s="26"/>
      <c r="I14" s="10" t="s">
        <v>127</v>
      </c>
      <c r="J14" s="11"/>
      <c r="M14" s="4"/>
      <c r="N14" s="78"/>
      <c r="O14" s="78"/>
      <c r="P14" s="78" t="str">
        <f t="shared" ref="P14:P19" si="4">IF(B14&lt;&gt;1,","&amp;D14,D14)</f>
        <v>,file_no</v>
      </c>
      <c r="Q14" s="78" t="str">
        <f t="shared" si="0"/>
        <v>INTEGER</v>
      </c>
      <c r="R14" s="78" t="str">
        <f t="shared" si="1"/>
        <v/>
      </c>
      <c r="S14" s="78" t="str">
        <f t="shared" ref="S14:S19" si="5">IF(I14="○","NOT NULL","")</f>
        <v>NOT NULL</v>
      </c>
      <c r="T14" s="78" t="str">
        <f t="shared" ref="T14:T1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milscm_2023_010.azn_202310_backup_text_mml_mmlre_inj.master_id IS '患者ID';</v>
      </c>
    </row>
    <row r="18" spans="1:52" s="25" customFormat="1" ht="31.5">
      <c r="A18" s="4"/>
      <c r="B18" s="21">
        <f t="shared" si="2"/>
        <v>6</v>
      </c>
      <c r="C18" s="6" t="s">
        <v>2859</v>
      </c>
      <c r="D18" s="6" t="s">
        <v>2860</v>
      </c>
      <c r="E18" s="8"/>
      <c r="F18" s="7" t="s">
        <v>1866</v>
      </c>
      <c r="G18" s="7" t="str">
        <f t="shared" si="3"/>
        <v>text</v>
      </c>
      <c r="H18" s="26"/>
      <c r="I18" s="10"/>
      <c r="J18" s="11"/>
      <c r="M18" s="4"/>
      <c r="N18" s="78"/>
      <c r="O18" s="78"/>
      <c r="P18" s="78" t="str">
        <f t="shared" si="4"/>
        <v>,narcotic_prescription_license_no</v>
      </c>
      <c r="Q18" s="78" t="str">
        <f t="shared" si="0"/>
        <v>TEXT</v>
      </c>
      <c r="R18" s="78" t="str">
        <f t="shared" si="1"/>
        <v/>
      </c>
      <c r="S18" s="78" t="str">
        <f t="shared" si="5"/>
        <v/>
      </c>
      <c r="T18" s="78" t="str">
        <f t="shared" si="6"/>
        <v>-- 麻薬施用者番号</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milscm_2023_010.azn_202310_backup_text_mml_mmlre_inj.narcotic_prescription_license_no IS '麻薬施用者番号';</v>
      </c>
    </row>
    <row r="19" spans="1:52" s="25" customFormat="1" ht="19.5" thickBot="1">
      <c r="A19" s="4"/>
      <c r="B19" s="27">
        <f>ROW()-12</f>
        <v>7</v>
      </c>
      <c r="C19" s="57" t="s">
        <v>2861</v>
      </c>
      <c r="D19" s="57" t="s">
        <v>2862</v>
      </c>
      <c r="E19" s="56"/>
      <c r="F19" s="56" t="s">
        <v>1866</v>
      </c>
      <c r="G19" s="56" t="str">
        <f t="shared" si="3"/>
        <v>text</v>
      </c>
      <c r="H19" s="59"/>
      <c r="I19" s="60"/>
      <c r="J19" s="64"/>
      <c r="N19" s="78"/>
      <c r="O19" s="78"/>
      <c r="P19" s="78" t="str">
        <f t="shared" si="4"/>
        <v>,comment</v>
      </c>
      <c r="Q19" s="78" t="str">
        <f t="shared" si="0"/>
        <v>TEXT</v>
      </c>
      <c r="R19" s="78" t="str">
        <f t="shared" si="1"/>
        <v/>
      </c>
      <c r="S19" s="78" t="str">
        <f t="shared" si="5"/>
        <v/>
      </c>
      <c r="T19" s="78" t="str">
        <f t="shared" si="6"/>
        <v>-- コメント</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milscm_2023_010.azn_202310_backup_text_mml_mmlre_inj.comment IS 'コメント';</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B00-000000000000}"/>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ENT_01_A6-55</v>
      </c>
      <c r="E6" s="239"/>
      <c r="F6" s="239"/>
      <c r="G6" s="239"/>
      <c r="H6" s="239"/>
      <c r="I6" s="239"/>
      <c r="J6" s="240"/>
    </row>
    <row r="7" spans="1:45">
      <c r="B7" s="228" t="s">
        <v>115</v>
      </c>
      <c r="C7" s="229"/>
      <c r="D7" s="230" t="s">
        <v>3084</v>
      </c>
      <c r="E7" s="231"/>
      <c r="F7" s="231"/>
      <c r="G7" s="231"/>
      <c r="H7" s="231"/>
      <c r="I7" s="231"/>
      <c r="J7" s="232"/>
    </row>
    <row r="8" spans="1:45">
      <c r="B8" s="228" t="s">
        <v>116</v>
      </c>
      <c r="C8" s="229"/>
      <c r="D8" s="230" t="str">
        <f>エンティティ一覧!AE2&amp;"_"&amp;D5&amp;"_text_mml_mmlre_inj_medication"</f>
        <v>azn_202310_backup_text_mml_mmlre_inj_medication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milscm_2023_010.azn_202310_backup_text_mml_mmlre_inj_medication;</v>
      </c>
      <c r="O10" s="78"/>
      <c r="P10" s="78"/>
      <c r="Q10" s="78"/>
      <c r="R10" s="78"/>
      <c r="S10" s="78"/>
      <c r="T10" s="78"/>
      <c r="AJ10" s="78" t="str">
        <f>"ALTER TABLE ONLY "&amp;エンティティ一覧!$O$2&amp;"."&amp;D$8</f>
        <v>ALTER TABLE ONLY milscm_2023_010.azn_202310_backup_text_mml_mmlre_inj_medication</v>
      </c>
      <c r="AS10" s="78" t="str">
        <f>"ALTER TABLE "&amp;エンティティ一覧!$O$2&amp;"."&amp;D$8&amp;" OWNER TO pgmisgrp1;"</f>
        <v>ALTER TABLE milscm_2023_010.azn_202310_backup_text_mml_mmlre_inj_medication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milscm_2023_010.azn_202310_backup_text_mml_mmlre_inj_medication</v>
      </c>
      <c r="O11" s="78"/>
      <c r="P11" s="78"/>
      <c r="Q11" s="78"/>
      <c r="R11" s="78"/>
      <c r="S11" s="78"/>
      <c r="T11" s="78"/>
      <c r="AJ11" s="78" t="str">
        <f>"ADD CONSTRAINT "&amp;D$8&amp;"_pkey PRIMARY KEY"</f>
        <v>ADD CONSTRAINT azn_202310_backup_text_mml_mmlre_inj_medication_pkey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milscm_2023_010.azn_202310_backup_text_mml_mmlre_inj_medication IS 'バックアップ_MML_紹介状モジュール_注射記録投薬';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milscm_2023_010.azn_202310_backup_text_mml_mmlre_inj_medication.zip_no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milscm_2023_010.azn_202310_backup_text_mml_mmlre_inj_medication.facility_id_mml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milscm_2023_010.azn_202310_backup_text_mml_mmlre_inj_medication.master_id IS '患者ID';</v>
      </c>
    </row>
    <row r="18" spans="1:52" s="25" customFormat="1">
      <c r="A18" s="4"/>
      <c r="B18" s="21">
        <f t="shared" si="2"/>
        <v>6</v>
      </c>
      <c r="C18" s="6" t="s">
        <v>2865</v>
      </c>
      <c r="D18" s="6" t="s">
        <v>2866</v>
      </c>
      <c r="E18" s="8" t="s">
        <v>127</v>
      </c>
      <c r="F18" s="7" t="s">
        <v>2827</v>
      </c>
      <c r="G18" s="7" t="str">
        <f t="shared" ref="G18:G27" si="7">IF(F18="フラグ","boolean",IF(F18="文字列","text",IF(F18="整数","integer",IF(F18="実数","numeric",""))))</f>
        <v>integer</v>
      </c>
      <c r="H18" s="26"/>
      <c r="I18" s="10" t="s">
        <v>127</v>
      </c>
      <c r="J18" s="11"/>
      <c r="M18" s="4"/>
      <c r="N18" s="78"/>
      <c r="O18" s="78"/>
      <c r="P18" s="78" t="str">
        <f t="shared" ref="P18:P27" si="8">IF(B18&lt;&gt;1,","&amp;D18,D18)</f>
        <v>,medication_no</v>
      </c>
      <c r="Q18" s="78" t="str">
        <f t="shared" ref="Q18:Q27" si="9">UPPER(G18)</f>
        <v>INTEGER</v>
      </c>
      <c r="R18" s="78" t="str">
        <f t="shared" ref="R18:R27" si="10">IF(H18&lt;&gt;"","default "&amp;IF(G18="text","'"&amp;H18&amp;"'",H18),"")</f>
        <v/>
      </c>
      <c r="S18" s="78" t="str">
        <f t="shared" ref="S18:S27" si="11">IF(I18="○","NOT NULL","")</f>
        <v>NOT NULL</v>
      </c>
      <c r="T18" s="78" t="str">
        <f t="shared" ref="T18:T27" si="12">"-- "&amp;C18</f>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milscm_2023_010.azn_202310_backup_text_mml_mmlre_inj_medication.medication_no IS '投薬No';</v>
      </c>
    </row>
    <row r="19" spans="1:52" s="25" customFormat="1">
      <c r="A19" s="4"/>
      <c r="B19" s="21">
        <f t="shared" si="2"/>
        <v>7</v>
      </c>
      <c r="C19" s="6" t="s">
        <v>2867</v>
      </c>
      <c r="D19" s="6" t="s">
        <v>2868</v>
      </c>
      <c r="E19" s="8"/>
      <c r="F19" s="7" t="s">
        <v>1866</v>
      </c>
      <c r="G19" s="7" t="str">
        <f t="shared" si="7"/>
        <v>text</v>
      </c>
      <c r="H19" s="26"/>
      <c r="I19" s="10"/>
      <c r="J19" s="11"/>
      <c r="M19" s="4"/>
      <c r="N19" s="78"/>
      <c r="O19" s="78"/>
      <c r="P19" s="78" t="str">
        <f t="shared" si="8"/>
        <v>,medicine_name</v>
      </c>
      <c r="Q19" s="78" t="str">
        <f t="shared" si="9"/>
        <v>TEXT</v>
      </c>
      <c r="R19" s="78" t="str">
        <f t="shared" si="10"/>
        <v/>
      </c>
      <c r="S19" s="78" t="str">
        <f t="shared" si="11"/>
        <v/>
      </c>
      <c r="T19" s="78" t="str">
        <f t="shared" si="12"/>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milscm_2023_010.azn_202310_backup_text_mml_mmlre_inj_medication.medicine_name IS '薬剤名称';</v>
      </c>
    </row>
    <row r="20" spans="1:52"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milscm_2023_010.azn_202310_backup_text_mml_mmlre_inj_medication.dose IS '用量';</v>
      </c>
    </row>
    <row r="21" spans="1:52"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milscm_2023_010.azn_202310_backup_text_mml_mmlre_inj_medication.dose_unit IS '用量の単位';</v>
      </c>
    </row>
    <row r="22" spans="1:52" s="25" customFormat="1">
      <c r="A22" s="4"/>
      <c r="B22" s="21">
        <f t="shared" si="2"/>
        <v>10</v>
      </c>
      <c r="C22" s="6" t="s">
        <v>3085</v>
      </c>
      <c r="D22" s="6" t="s">
        <v>2907</v>
      </c>
      <c r="E22" s="8"/>
      <c r="F22" s="7" t="s">
        <v>1866</v>
      </c>
      <c r="G22" s="7" t="str">
        <f t="shared" si="7"/>
        <v>text</v>
      </c>
      <c r="H22" s="26"/>
      <c r="I22" s="10"/>
      <c r="J22" s="11" t="s">
        <v>2839</v>
      </c>
      <c r="M22" s="4"/>
      <c r="N22" s="78"/>
      <c r="O22" s="78"/>
      <c r="P22" s="78" t="str">
        <f t="shared" si="8"/>
        <v>,start_date_time</v>
      </c>
      <c r="Q22" s="78" t="str">
        <f t="shared" si="9"/>
        <v>TEXT</v>
      </c>
      <c r="R22" s="78" t="str">
        <f t="shared" si="10"/>
        <v/>
      </c>
      <c r="S22" s="78" t="str">
        <f t="shared" si="11"/>
        <v/>
      </c>
      <c r="T22" s="78" t="str">
        <f t="shared" si="12"/>
        <v>-- 投与開始日時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milscm_2023_010.azn_202310_backup_text_mml_mmlre_inj_medication.start_date_time IS '投与開始日時';</v>
      </c>
    </row>
    <row r="23" spans="1:52" s="25" customFormat="1">
      <c r="A23" s="4"/>
      <c r="B23" s="21">
        <f t="shared" si="2"/>
        <v>11</v>
      </c>
      <c r="C23" s="6" t="s">
        <v>3086</v>
      </c>
      <c r="D23" s="6" t="s">
        <v>2909</v>
      </c>
      <c r="E23" s="8"/>
      <c r="F23" s="7" t="s">
        <v>1866</v>
      </c>
      <c r="G23" s="7" t="str">
        <f t="shared" si="7"/>
        <v>text</v>
      </c>
      <c r="H23" s="26"/>
      <c r="I23" s="10"/>
      <c r="J23" s="11" t="s">
        <v>2839</v>
      </c>
      <c r="M23" s="4"/>
      <c r="N23" s="78"/>
      <c r="O23" s="78"/>
      <c r="P23" s="78" t="str">
        <f t="shared" si="8"/>
        <v>,end_date_time</v>
      </c>
      <c r="Q23" s="78" t="str">
        <f t="shared" si="9"/>
        <v>TEXT</v>
      </c>
      <c r="R23" s="78" t="str">
        <f t="shared" si="10"/>
        <v/>
      </c>
      <c r="S23" s="78" t="str">
        <f t="shared" si="11"/>
        <v/>
      </c>
      <c r="T23" s="78" t="str">
        <f t="shared" si="12"/>
        <v>-- 投与終了日時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milscm_2023_010.azn_202310_backup_text_mml_mmlre_inj_medication.end_date_time IS '投与終了日時';</v>
      </c>
    </row>
    <row r="24" spans="1:52" s="25" customFormat="1">
      <c r="A24" s="4"/>
      <c r="B24" s="21">
        <f t="shared" si="2"/>
        <v>12</v>
      </c>
      <c r="C24" s="6" t="s">
        <v>2878</v>
      </c>
      <c r="D24" s="6" t="s">
        <v>2879</v>
      </c>
      <c r="E24" s="8"/>
      <c r="F24" s="7" t="s">
        <v>1866</v>
      </c>
      <c r="G24" s="7" t="str">
        <f t="shared" si="7"/>
        <v>text</v>
      </c>
      <c r="H24" s="26"/>
      <c r="I24" s="10"/>
      <c r="J24" s="11"/>
      <c r="M24" s="4"/>
      <c r="N24" s="78"/>
      <c r="O24" s="78"/>
      <c r="P24" s="78" t="str">
        <f t="shared" si="8"/>
        <v>,instruction</v>
      </c>
      <c r="Q24" s="78" t="str">
        <f t="shared" si="9"/>
        <v>TEXT</v>
      </c>
      <c r="R24" s="78" t="str">
        <f t="shared" si="10"/>
        <v/>
      </c>
      <c r="S24" s="78" t="str">
        <f t="shared" si="11"/>
        <v/>
      </c>
      <c r="T24" s="78" t="str">
        <f t="shared" si="12"/>
        <v>-- 用法指示</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milscm_2023_010.azn_202310_backup_text_mml_mmlre_inj_medication.instruction IS '用法指示';</v>
      </c>
    </row>
    <row r="25" spans="1:52" s="25" customFormat="1">
      <c r="A25" s="4"/>
      <c r="B25" s="21">
        <f t="shared" si="2"/>
        <v>13</v>
      </c>
      <c r="C25" s="6" t="s">
        <v>2884</v>
      </c>
      <c r="D25" s="6" t="s">
        <v>2885</v>
      </c>
      <c r="E25" s="8"/>
      <c r="F25" s="7" t="s">
        <v>1866</v>
      </c>
      <c r="G25" s="7" t="str">
        <f t="shared" si="7"/>
        <v>text</v>
      </c>
      <c r="H25" s="26"/>
      <c r="I25" s="10"/>
      <c r="J25" s="11"/>
      <c r="M25" s="4"/>
      <c r="N25" s="78"/>
      <c r="O25" s="78"/>
      <c r="P25" s="78" t="str">
        <f t="shared" si="8"/>
        <v>,route</v>
      </c>
      <c r="Q25" s="78" t="str">
        <f t="shared" si="9"/>
        <v>TEXT</v>
      </c>
      <c r="R25" s="78" t="str">
        <f t="shared" si="10"/>
        <v/>
      </c>
      <c r="S25" s="78" t="str">
        <f t="shared" si="11"/>
        <v/>
      </c>
      <c r="T25" s="78" t="str">
        <f t="shared" si="12"/>
        <v>-- 投与経路</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milscm_2023_010.azn_202310_backup_text_mml_mmlre_inj_medication.route IS '投与経路';</v>
      </c>
    </row>
    <row r="26" spans="1:52" s="25" customFormat="1">
      <c r="A26" s="4"/>
      <c r="B26" s="21">
        <f t="shared" si="2"/>
        <v>14</v>
      </c>
      <c r="C26" s="6" t="s">
        <v>2910</v>
      </c>
      <c r="D26" s="6" t="s">
        <v>2911</v>
      </c>
      <c r="E26" s="8"/>
      <c r="F26" s="7" t="s">
        <v>1866</v>
      </c>
      <c r="G26" s="7" t="str">
        <f t="shared" si="7"/>
        <v>text</v>
      </c>
      <c r="H26" s="26"/>
      <c r="I26" s="10"/>
      <c r="J26" s="11"/>
      <c r="M26" s="4"/>
      <c r="N26" s="78"/>
      <c r="O26" s="78"/>
      <c r="P26" s="78" t="str">
        <f t="shared" si="8"/>
        <v>,site</v>
      </c>
      <c r="Q26" s="78" t="str">
        <f t="shared" si="9"/>
        <v>TEXT</v>
      </c>
      <c r="R26" s="78" t="str">
        <f t="shared" si="10"/>
        <v/>
      </c>
      <c r="S26" s="78" t="str">
        <f t="shared" si="11"/>
        <v/>
      </c>
      <c r="T26" s="78" t="str">
        <f t="shared" si="12"/>
        <v>-- 投与部位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milscm_2023_010.azn_202310_backup_text_mml_mmlre_inj_medication.site IS '投与部位';</v>
      </c>
    </row>
    <row r="27" spans="1:52" s="25" customFormat="1">
      <c r="A27" s="4"/>
      <c r="B27" s="21">
        <f t="shared" si="2"/>
        <v>15</v>
      </c>
      <c r="C27" s="6" t="s">
        <v>2912</v>
      </c>
      <c r="D27" s="6" t="s">
        <v>2913</v>
      </c>
      <c r="E27" s="8"/>
      <c r="F27" s="7" t="s">
        <v>1866</v>
      </c>
      <c r="G27" s="7" t="str">
        <f t="shared" si="7"/>
        <v>text</v>
      </c>
      <c r="H27" s="26"/>
      <c r="I27" s="10"/>
      <c r="J27" s="11"/>
      <c r="M27" s="4"/>
      <c r="N27" s="78"/>
      <c r="O27" s="78"/>
      <c r="P27" s="78" t="str">
        <f t="shared" si="8"/>
        <v>,delivery_method</v>
      </c>
      <c r="Q27" s="78" t="str">
        <f t="shared" si="9"/>
        <v>TEXT</v>
      </c>
      <c r="R27" s="78" t="str">
        <f t="shared" si="10"/>
        <v/>
      </c>
      <c r="S27" s="78" t="str">
        <f t="shared" si="11"/>
        <v/>
      </c>
      <c r="T27" s="78" t="str">
        <f t="shared" si="12"/>
        <v>-- 注射方法</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milscm_2023_010.azn_202310_backup_text_mml_mmlre_inj_medication.delivery_method IS '注射方法';</v>
      </c>
    </row>
    <row r="28" spans="1:52" s="25" customFormat="1">
      <c r="A28" s="4"/>
      <c r="B28" s="21">
        <f t="shared" si="2"/>
        <v>16</v>
      </c>
      <c r="C28" s="6" t="s">
        <v>2888</v>
      </c>
      <c r="D28" s="6" t="s">
        <v>2889</v>
      </c>
      <c r="E28" s="8"/>
      <c r="F28" s="7" t="s">
        <v>1866</v>
      </c>
      <c r="G28" s="7" t="str">
        <f t="shared" si="3"/>
        <v>text</v>
      </c>
      <c r="H28" s="26"/>
      <c r="I28" s="10"/>
      <c r="J28" s="11"/>
      <c r="M28" s="4"/>
      <c r="N28" s="78"/>
      <c r="O28" s="78"/>
      <c r="P28" s="78" t="str">
        <f t="shared" si="4"/>
        <v>,batch_no</v>
      </c>
      <c r="Q28" s="78" t="str">
        <f t="shared" si="0"/>
        <v>TEXT</v>
      </c>
      <c r="R28" s="78" t="str">
        <f t="shared" si="1"/>
        <v/>
      </c>
      <c r="S28" s="78" t="str">
        <f t="shared" si="5"/>
        <v/>
      </c>
      <c r="T28" s="78" t="str">
        <f t="shared" si="6"/>
        <v>-- 処方番号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milscm_2023_010.azn_202310_backup_text_mml_mmlre_inj_medication.batch_no IS '処方番号';</v>
      </c>
    </row>
    <row r="29" spans="1:52" s="25" customFormat="1" ht="19.5" thickBot="1">
      <c r="A29" s="4"/>
      <c r="B29" s="27">
        <f>ROW()-12</f>
        <v>17</v>
      </c>
      <c r="C29" s="57" t="s">
        <v>2894</v>
      </c>
      <c r="D29" s="57" t="s">
        <v>2895</v>
      </c>
      <c r="E29" s="56"/>
      <c r="F29" s="56" t="s">
        <v>1866</v>
      </c>
      <c r="G29" s="56" t="str">
        <f t="shared" si="3"/>
        <v>text</v>
      </c>
      <c r="H29" s="59"/>
      <c r="I29" s="60"/>
      <c r="J29" s="64"/>
      <c r="N29" s="78"/>
      <c r="O29" s="78"/>
      <c r="P29" s="78" t="str">
        <f t="shared" si="4"/>
        <v>,additional_instruction</v>
      </c>
      <c r="Q29" s="78" t="str">
        <f t="shared" si="0"/>
        <v>TEXT</v>
      </c>
      <c r="R29" s="78" t="str">
        <f t="shared" si="1"/>
        <v/>
      </c>
      <c r="S29" s="78" t="str">
        <f t="shared" si="5"/>
        <v/>
      </c>
      <c r="T29" s="78" t="str">
        <f t="shared" si="6"/>
        <v>-- 追加指示，コメント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milscm_2023_010.azn_202310_backup_text_mml_mmlre_inj_medication.additional_instruction IS '追加指示，コメント';</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C00-000000000000}"/>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ENT_01_A6-56</v>
      </c>
      <c r="E6" s="239"/>
      <c r="F6" s="239"/>
      <c r="G6" s="239"/>
      <c r="H6" s="239"/>
      <c r="I6" s="239"/>
      <c r="J6" s="240"/>
    </row>
    <row r="7" spans="1:45">
      <c r="B7" s="228" t="s">
        <v>115</v>
      </c>
      <c r="C7" s="229"/>
      <c r="D7" s="230" t="s">
        <v>3087</v>
      </c>
      <c r="E7" s="231"/>
      <c r="F7" s="231"/>
      <c r="G7" s="231"/>
      <c r="H7" s="231"/>
      <c r="I7" s="231"/>
      <c r="J7" s="232"/>
    </row>
    <row r="8" spans="1:45">
      <c r="B8" s="228" t="s">
        <v>116</v>
      </c>
      <c r="C8" s="229"/>
      <c r="D8" s="230" t="str">
        <f>エンティティ一覧!AE2&amp;"_"&amp;D5&amp;"_text_mml_mmlre_inj_medicine"</f>
        <v>azn_202310_backup_text_mml_mmlre_inj_medicine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milscm_2023_010.azn_202310_backup_text_mml_mmlre_inj_medicine;</v>
      </c>
      <c r="O10" s="78"/>
      <c r="P10" s="78"/>
      <c r="Q10" s="78"/>
      <c r="R10" s="78"/>
      <c r="S10" s="78"/>
      <c r="T10" s="78"/>
      <c r="AJ10" s="78" t="str">
        <f>"ALTER TABLE ONLY "&amp;エンティティ一覧!$O$2&amp;"."&amp;D$8</f>
        <v>ALTER TABLE ONLY milscm_2023_010.azn_202310_backup_text_mml_mmlre_inj_medicine</v>
      </c>
      <c r="AS10" s="78" t="str">
        <f>"ALTER TABLE "&amp;エンティティ一覧!$O$2&amp;"."&amp;D$8&amp;" OWNER TO pgmisgrp1;"</f>
        <v>ALTER TABLE milscm_2023_010.azn_202310_backup_text_mml_mmlre_inj_medicine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milscm_2023_010.azn_202310_backup_text_mml_mmlre_inj_medicine</v>
      </c>
      <c r="O11" s="78"/>
      <c r="P11" s="78"/>
      <c r="Q11" s="78"/>
      <c r="R11" s="78"/>
      <c r="S11" s="78"/>
      <c r="T11" s="78"/>
      <c r="AJ11" s="78" t="str">
        <f>"ADD CONSTRAINT "&amp;D$8&amp;"_pkey PRIMARY KEY"</f>
        <v>ADD CONSTRAINT azn_202310_backup_text_mml_mmlre_inj_medicine_pkey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milscm_2023_010.azn_202310_backup_text_mml_mmlre_inj_medicine IS 'バックアップ_MML_紹介状モジュール_注射記録薬剤';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milscm_2023_010.azn_202310_backup_text_mml_mmlre_inj_medicine.zip_no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milscm_2023_010.azn_202310_backup_text_mml_mmlre_inj_medicine.file_no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milscm_2023_010.azn_202310_backup_text_mml_mmlre_inj_medicine.body_no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milscm_2023_010.azn_202310_backup_text_mml_mmlre_inj_medicine.facility_id_mml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milscm_2023_010.azn_202310_backup_text_mml_mmlre_inj_medicine.master_id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milscm_2023_010.azn_202310_backup_text_mml_mmlre_inj_medicine.medication_no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milscm_2023_010.azn_202310_backup_text_mml_mmlre_inj_medicine.medicine_no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milscm_2023_010.azn_202310_backup_text_mml_mmlre_inj_medicine.code IS '薬剤コード';</v>
      </c>
    </row>
    <row r="21" spans="1:52" s="25" customFormat="1" ht="19.5"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milscm_2023_010.azn_202310_backup_text_mml_mmlre_inj_medicine.system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D00-000000000000}"/>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AZ3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ENT_01_A6-57</v>
      </c>
      <c r="E6" s="239"/>
      <c r="F6" s="239"/>
      <c r="G6" s="239"/>
      <c r="H6" s="239"/>
      <c r="I6" s="239"/>
      <c r="J6" s="240"/>
    </row>
    <row r="7" spans="1:45">
      <c r="B7" s="228" t="s">
        <v>115</v>
      </c>
      <c r="C7" s="229"/>
      <c r="D7" s="230" t="s">
        <v>3088</v>
      </c>
      <c r="E7" s="231"/>
      <c r="F7" s="231"/>
      <c r="G7" s="231"/>
      <c r="H7" s="231"/>
      <c r="I7" s="231"/>
      <c r="J7" s="232"/>
    </row>
    <row r="8" spans="1:45">
      <c r="B8" s="228" t="s">
        <v>116</v>
      </c>
      <c r="C8" s="229"/>
      <c r="D8" s="230" t="str">
        <f>エンティティ一覧!AE2&amp;"_"&amp;D5&amp;"_text_mml_mmlre_pi"</f>
        <v>azn_202310_backup_text_mml_mmlre_pi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milscm_2023_010.azn_202310_backup_text_mml_mmlre_pi;</v>
      </c>
      <c r="O10" s="78"/>
      <c r="P10" s="78"/>
      <c r="Q10" s="78"/>
      <c r="R10" s="78"/>
      <c r="S10" s="78"/>
      <c r="T10" s="78"/>
      <c r="AJ10" s="78" t="str">
        <f>"ALTER TABLE ONLY "&amp;エンティティ一覧!$O$2&amp;"."&amp;D$8</f>
        <v>ALTER TABLE ONLY milscm_2023_010.azn_202310_backup_text_mml_mmlre_pi</v>
      </c>
      <c r="AS10" s="78" t="str">
        <f>"ALTER TABLE "&amp;エンティティ一覧!$O$2&amp;"."&amp;D$8&amp;" OWNER TO pgmisgrp1;"</f>
        <v>ALTER TABLE milscm_2023_010.azn_202310_backup_text_mml_mmlre_pi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milscm_2023_010.azn_202310_backup_text_mml_mmlre_pi</v>
      </c>
      <c r="O11" s="78"/>
      <c r="P11" s="78"/>
      <c r="Q11" s="78"/>
      <c r="R11" s="78"/>
      <c r="S11" s="78"/>
      <c r="T11" s="78"/>
      <c r="AJ11" s="78" t="str">
        <f>"ADD CONSTRAINT "&amp;D$8&amp;"_pkey PRIMARY KEY"</f>
        <v>ADD CONSTRAINT azn_202310_backup_text_mml_mmlre_pi_pkey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milscm_2023_010.azn_202310_backup_text_mml_mmlre_pi IS 'バックアップ_MML_紹介状モジュール_患者情報';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9" si="0">UPPER(G13)</f>
        <v>INTEGER</v>
      </c>
      <c r="R13" s="78" t="str">
        <f t="shared" ref="R13:R29"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milscm_2023_010.azn_202310_backup_text_mml_mmlre_pi.zip_no IS 'ZipファイルNo';</v>
      </c>
    </row>
    <row r="14" spans="1:45" s="25" customFormat="1">
      <c r="A14" s="4"/>
      <c r="B14" s="21">
        <f t="shared" ref="B14:B28" si="2">ROW()-12</f>
        <v>2</v>
      </c>
      <c r="C14" s="6" t="s">
        <v>2828</v>
      </c>
      <c r="D14" s="6" t="s">
        <v>2829</v>
      </c>
      <c r="E14" s="8" t="s">
        <v>127</v>
      </c>
      <c r="F14" s="7" t="s">
        <v>2827</v>
      </c>
      <c r="G14" s="7" t="str">
        <f t="shared" ref="G14:G29" si="3">IF(F14="フラグ","boolean",IF(F14="文字列","text",IF(F14="整数","integer",IF(F14="実数","numeric",""))))</f>
        <v>integer</v>
      </c>
      <c r="H14" s="26"/>
      <c r="I14" s="10" t="s">
        <v>127</v>
      </c>
      <c r="J14" s="11"/>
      <c r="M14" s="4"/>
      <c r="N14" s="78"/>
      <c r="O14" s="78"/>
      <c r="P14" s="78" t="str">
        <f t="shared" ref="P14:P29" si="4">IF(B14&lt;&gt;1,","&amp;D14,D14)</f>
        <v>,file_no</v>
      </c>
      <c r="Q14" s="78" t="str">
        <f t="shared" si="0"/>
        <v>INTEGER</v>
      </c>
      <c r="R14" s="78" t="str">
        <f t="shared" si="1"/>
        <v/>
      </c>
      <c r="S14" s="78" t="str">
        <f t="shared" ref="S14:S29" si="5">IF(I14="○","NOT NULL","")</f>
        <v>NOT NULL</v>
      </c>
      <c r="T14" s="78" t="str">
        <f t="shared" ref="T14:T29"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milscm_2023_010.azn_202310_backup_text_mml_mmlre_pi.master_id IS '患者ID';</v>
      </c>
    </row>
    <row r="18" spans="1:52" s="25" customFormat="1">
      <c r="A18" s="4"/>
      <c r="B18" s="21">
        <f t="shared" si="2"/>
        <v>6</v>
      </c>
      <c r="C18" s="6" t="s">
        <v>570</v>
      </c>
      <c r="D18" s="6" t="s">
        <v>323</v>
      </c>
      <c r="E18" s="8"/>
      <c r="F18" s="7" t="s">
        <v>1866</v>
      </c>
      <c r="G18" s="7" t="str">
        <f t="shared" si="3"/>
        <v>text</v>
      </c>
      <c r="H18" s="26"/>
      <c r="I18" s="10"/>
      <c r="J18" s="11" t="s">
        <v>2896</v>
      </c>
      <c r="M18" s="4"/>
      <c r="N18" s="78"/>
      <c r="O18" s="78"/>
      <c r="P18" s="78" t="str">
        <f t="shared" si="4"/>
        <v>,birthday</v>
      </c>
      <c r="Q18" s="78" t="str">
        <f t="shared" si="0"/>
        <v>TEXT</v>
      </c>
      <c r="R18" s="78" t="str">
        <f t="shared" si="1"/>
        <v/>
      </c>
      <c r="S18" s="78" t="str">
        <f t="shared" si="5"/>
        <v/>
      </c>
      <c r="T18" s="78" t="str">
        <f t="shared" si="6"/>
        <v>-- 生年月日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milscm_2023_010.azn_202310_backup_text_mml_mmlre_pi.birthday IS '生年月日';</v>
      </c>
    </row>
    <row r="19" spans="1:52" s="25" customFormat="1" ht="75">
      <c r="A19" s="4"/>
      <c r="B19" s="21">
        <f t="shared" si="2"/>
        <v>7</v>
      </c>
      <c r="C19" s="6" t="s">
        <v>572</v>
      </c>
      <c r="D19" s="6" t="s">
        <v>1306</v>
      </c>
      <c r="E19" s="8"/>
      <c r="F19" s="7" t="s">
        <v>1866</v>
      </c>
      <c r="G19" s="7" t="str">
        <f t="shared" si="3"/>
        <v>text</v>
      </c>
      <c r="H19" s="26"/>
      <c r="I19" s="10"/>
      <c r="J19" s="11" t="s">
        <v>3096</v>
      </c>
      <c r="M19" s="4"/>
      <c r="N19" s="78"/>
      <c r="O19" s="78"/>
      <c r="P19" s="78" t="str">
        <f t="shared" si="4"/>
        <v>,sex</v>
      </c>
      <c r="Q19" s="78" t="str">
        <f t="shared" si="0"/>
        <v>TEXT</v>
      </c>
      <c r="R19" s="78" t="str">
        <f t="shared" si="1"/>
        <v/>
      </c>
      <c r="S19" s="78" t="str">
        <f t="shared" si="5"/>
        <v/>
      </c>
      <c r="T19" s="78" t="str">
        <f t="shared" si="6"/>
        <v>-- 性別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milscm_2023_010.azn_202310_backup_text_mml_mmlre_pi.sex IS '性別';</v>
      </c>
    </row>
    <row r="20" spans="1:52" s="25" customFormat="1">
      <c r="A20" s="4"/>
      <c r="B20" s="21">
        <f t="shared" si="2"/>
        <v>8</v>
      </c>
      <c r="C20" s="6" t="s">
        <v>1307</v>
      </c>
      <c r="D20" s="6" t="s">
        <v>3089</v>
      </c>
      <c r="E20" s="8"/>
      <c r="F20" s="7" t="s">
        <v>1866</v>
      </c>
      <c r="G20" s="7" t="str">
        <f t="shared" si="3"/>
        <v>text</v>
      </c>
      <c r="H20" s="26"/>
      <c r="I20" s="10"/>
      <c r="J20" s="11"/>
      <c r="M20" s="4"/>
      <c r="N20" s="78"/>
      <c r="O20" s="78"/>
      <c r="P20" s="78" t="str">
        <f t="shared" si="4"/>
        <v>,nationality</v>
      </c>
      <c r="Q20" s="78" t="str">
        <f t="shared" si="0"/>
        <v>TEXT</v>
      </c>
      <c r="R20" s="78" t="str">
        <f t="shared" si="1"/>
        <v/>
      </c>
      <c r="S20" s="78" t="str">
        <f t="shared" si="5"/>
        <v/>
      </c>
      <c r="T20" s="78" t="str">
        <f t="shared" si="6"/>
        <v>-- 国籍コード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milscm_2023_010.azn_202310_backup_text_mml_mmlre_pi.nationality IS '国籍コード';</v>
      </c>
    </row>
    <row r="21" spans="1:52" s="25" customFormat="1">
      <c r="A21" s="4"/>
      <c r="B21" s="21">
        <f t="shared" si="2"/>
        <v>9</v>
      </c>
      <c r="C21" s="6" t="s">
        <v>1309</v>
      </c>
      <c r="D21" s="6" t="s">
        <v>3090</v>
      </c>
      <c r="E21" s="8"/>
      <c r="F21" s="7" t="s">
        <v>1866</v>
      </c>
      <c r="G21" s="7" t="str">
        <f t="shared" si="3"/>
        <v>text</v>
      </c>
      <c r="H21" s="26"/>
      <c r="I21" s="10"/>
      <c r="J21" s="11"/>
      <c r="M21" s="4"/>
      <c r="N21" s="78"/>
      <c r="O21" s="78"/>
      <c r="P21" s="78" t="str">
        <f t="shared" si="4"/>
        <v>,subtype</v>
      </c>
      <c r="Q21" s="78" t="str">
        <f t="shared" si="0"/>
        <v>TEXT</v>
      </c>
      <c r="R21" s="78" t="str">
        <f t="shared" si="1"/>
        <v/>
      </c>
      <c r="S21" s="78" t="str">
        <f t="shared" si="5"/>
        <v/>
      </c>
      <c r="T21" s="78" t="str">
        <f t="shared" si="6"/>
        <v>-- 第2国籍コード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milscm_2023_010.azn_202310_backup_text_mml_mmlre_pi.subtype IS '第2国籍コード';</v>
      </c>
    </row>
    <row r="22" spans="1:52" s="25" customFormat="1">
      <c r="A22" s="4"/>
      <c r="B22" s="21">
        <f t="shared" si="2"/>
        <v>10</v>
      </c>
      <c r="C22" s="6" t="s">
        <v>3091</v>
      </c>
      <c r="D22" s="6" t="s">
        <v>1312</v>
      </c>
      <c r="E22" s="8"/>
      <c r="F22" s="7" t="s">
        <v>1866</v>
      </c>
      <c r="G22" s="7" t="str">
        <f t="shared" si="3"/>
        <v>text</v>
      </c>
      <c r="H22" s="26"/>
      <c r="I22" s="10"/>
      <c r="J22" s="11"/>
      <c r="M22" s="4"/>
      <c r="N22" s="78"/>
      <c r="O22" s="78"/>
      <c r="P22" s="78" t="str">
        <f t="shared" si="4"/>
        <v>,race</v>
      </c>
      <c r="Q22" s="78" t="str">
        <f t="shared" si="0"/>
        <v>TEXT</v>
      </c>
      <c r="R22" s="78" t="str">
        <f t="shared" si="1"/>
        <v/>
      </c>
      <c r="S22" s="78" t="str">
        <f t="shared" si="5"/>
        <v/>
      </c>
      <c r="T22" s="78" t="str">
        <f t="shared" si="6"/>
        <v>-- 人種</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milscm_2023_010.azn_202310_backup_text_mml_mmlre_pi.race IS '人種';</v>
      </c>
    </row>
    <row r="23" spans="1:52" s="25" customFormat="1">
      <c r="A23" s="4"/>
      <c r="B23" s="21">
        <f t="shared" si="2"/>
        <v>11</v>
      </c>
      <c r="C23" s="6" t="s">
        <v>3092</v>
      </c>
      <c r="D23" s="6" t="s">
        <v>1314</v>
      </c>
      <c r="E23" s="8"/>
      <c r="F23" s="7" t="s">
        <v>1866</v>
      </c>
      <c r="G23" s="7" t="str">
        <f t="shared" si="3"/>
        <v>text</v>
      </c>
      <c r="H23" s="26"/>
      <c r="I23" s="10"/>
      <c r="J23" s="11"/>
      <c r="M23" s="4"/>
      <c r="N23" s="78"/>
      <c r="O23" s="78"/>
      <c r="P23" s="78" t="str">
        <f t="shared" si="4"/>
        <v>,race_code</v>
      </c>
      <c r="Q23" s="78" t="str">
        <f t="shared" si="0"/>
        <v>TEXT</v>
      </c>
      <c r="R23" s="78" t="str">
        <f t="shared" si="1"/>
        <v/>
      </c>
      <c r="S23" s="78" t="str">
        <f t="shared" si="5"/>
        <v/>
      </c>
      <c r="T23" s="78" t="str">
        <f t="shared" si="6"/>
        <v>-- 人種コード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milscm_2023_010.azn_202310_backup_text_mml_mmlre_pi.race_code IS '人種コード';</v>
      </c>
    </row>
    <row r="24" spans="1:52" s="25" customFormat="1">
      <c r="A24" s="4"/>
      <c r="B24" s="21">
        <f t="shared" si="2"/>
        <v>12</v>
      </c>
      <c r="C24" s="6" t="s">
        <v>3093</v>
      </c>
      <c r="D24" s="6" t="s">
        <v>1316</v>
      </c>
      <c r="E24" s="8"/>
      <c r="F24" s="7" t="s">
        <v>1866</v>
      </c>
      <c r="G24" s="7" t="str">
        <f t="shared" si="3"/>
        <v>text</v>
      </c>
      <c r="H24" s="26"/>
      <c r="I24" s="10"/>
      <c r="J24" s="11"/>
      <c r="M24" s="4"/>
      <c r="N24" s="78"/>
      <c r="O24" s="78"/>
      <c r="P24" s="78" t="str">
        <f t="shared" si="4"/>
        <v>,race_code_id</v>
      </c>
      <c r="Q24" s="78" t="str">
        <f t="shared" si="0"/>
        <v>TEXT</v>
      </c>
      <c r="R24" s="78" t="str">
        <f t="shared" si="1"/>
        <v/>
      </c>
      <c r="S24" s="78" t="str">
        <f t="shared" si="5"/>
        <v/>
      </c>
      <c r="T24" s="78" t="str">
        <f t="shared" si="6"/>
        <v>-- 人種テーブル名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milscm_2023_010.azn_202310_backup_text_mml_mmlre_pi.race_code_id IS '人種テーブル名';</v>
      </c>
    </row>
    <row r="25" spans="1:52" s="25" customFormat="1">
      <c r="A25" s="4"/>
      <c r="B25" s="21">
        <f t="shared" si="2"/>
        <v>13</v>
      </c>
      <c r="C25" s="6" t="s">
        <v>1317</v>
      </c>
      <c r="D25" s="6" t="s">
        <v>1318</v>
      </c>
      <c r="E25" s="8"/>
      <c r="F25" s="7" t="s">
        <v>1866</v>
      </c>
      <c r="G25" s="7" t="str">
        <f t="shared" si="3"/>
        <v>text</v>
      </c>
      <c r="H25" s="26"/>
      <c r="I25" s="10"/>
      <c r="J25" s="11"/>
      <c r="M25" s="4"/>
      <c r="N25" s="78"/>
      <c r="O25" s="78"/>
      <c r="P25" s="78" t="str">
        <f t="shared" si="4"/>
        <v>,marital</v>
      </c>
      <c r="Q25" s="78" t="str">
        <f t="shared" si="0"/>
        <v>TEXT</v>
      </c>
      <c r="R25" s="78" t="str">
        <f t="shared" si="1"/>
        <v/>
      </c>
      <c r="S25" s="78" t="str">
        <f t="shared" si="5"/>
        <v/>
      </c>
      <c r="T25" s="78" t="str">
        <f t="shared" si="6"/>
        <v>-- 婚姻状態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milscm_2023_010.azn_202310_backup_text_mml_mmlre_pi.marital IS '婚姻状態';</v>
      </c>
    </row>
    <row r="26" spans="1:52" s="25" customFormat="1">
      <c r="A26" s="4"/>
      <c r="B26" s="21">
        <f t="shared" si="2"/>
        <v>14</v>
      </c>
      <c r="C26" s="6" t="s">
        <v>1319</v>
      </c>
      <c r="D26" s="6" t="s">
        <v>1320</v>
      </c>
      <c r="E26" s="8"/>
      <c r="F26" s="7" t="s">
        <v>1866</v>
      </c>
      <c r="G26" s="7" t="str">
        <f t="shared" si="3"/>
        <v>text</v>
      </c>
      <c r="H26" s="26"/>
      <c r="I26" s="10"/>
      <c r="J26" s="11"/>
      <c r="M26" s="4"/>
      <c r="N26" s="78"/>
      <c r="O26" s="78"/>
      <c r="P26" s="78" t="str">
        <f t="shared" si="4"/>
        <v>,account_number</v>
      </c>
      <c r="Q26" s="78" t="str">
        <f t="shared" si="0"/>
        <v>TEXT</v>
      </c>
      <c r="R26" s="78" t="str">
        <f t="shared" si="1"/>
        <v/>
      </c>
      <c r="S26" s="78" t="str">
        <f t="shared" si="5"/>
        <v/>
      </c>
      <c r="T26" s="78" t="str">
        <f t="shared" si="6"/>
        <v>-- 会計番号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milscm_2023_010.azn_202310_backup_text_mml_mmlre_pi.account_number IS '会計番号';</v>
      </c>
    </row>
    <row r="27" spans="1:52" s="25" customFormat="1">
      <c r="A27" s="4"/>
      <c r="B27" s="21">
        <f t="shared" si="2"/>
        <v>15</v>
      </c>
      <c r="C27" s="6" t="s">
        <v>1321</v>
      </c>
      <c r="D27" s="6" t="s">
        <v>3094</v>
      </c>
      <c r="E27" s="8"/>
      <c r="F27" s="7" t="s">
        <v>1866</v>
      </c>
      <c r="G27" s="7" t="str">
        <f t="shared" si="3"/>
        <v>text</v>
      </c>
      <c r="H27" s="26"/>
      <c r="I27" s="10"/>
      <c r="J27" s="11"/>
      <c r="M27" s="4"/>
      <c r="N27" s="78"/>
      <c r="O27" s="78"/>
      <c r="P27" s="78" t="str">
        <f t="shared" si="4"/>
        <v>,social_identification</v>
      </c>
      <c r="Q27" s="78" t="str">
        <f t="shared" si="0"/>
        <v>TEXT</v>
      </c>
      <c r="R27" s="78" t="str">
        <f t="shared" si="1"/>
        <v/>
      </c>
      <c r="S27" s="78" t="str">
        <f t="shared" si="5"/>
        <v/>
      </c>
      <c r="T27" s="78" t="str">
        <f t="shared" si="6"/>
        <v>-- 社会番号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milscm_2023_010.azn_202310_backup_text_mml_mmlre_pi.social_identification IS '社会番号';</v>
      </c>
    </row>
    <row r="28" spans="1:52" s="25" customFormat="1" ht="37.5">
      <c r="A28" s="4"/>
      <c r="B28" s="21">
        <f t="shared" si="2"/>
        <v>16</v>
      </c>
      <c r="C28" s="6" t="s">
        <v>1323</v>
      </c>
      <c r="D28" s="6" t="s">
        <v>3095</v>
      </c>
      <c r="E28" s="8"/>
      <c r="F28" s="7" t="s">
        <v>1866</v>
      </c>
      <c r="G28" s="7" t="str">
        <f t="shared" si="3"/>
        <v>text</v>
      </c>
      <c r="H28" s="26"/>
      <c r="I28" s="10"/>
      <c r="J28" s="11" t="s">
        <v>3097</v>
      </c>
      <c r="M28" s="4"/>
      <c r="N28" s="78"/>
      <c r="O28" s="78"/>
      <c r="P28" s="78" t="str">
        <f t="shared" si="4"/>
        <v>,death</v>
      </c>
      <c r="Q28" s="78" t="str">
        <f t="shared" si="0"/>
        <v>TEXT</v>
      </c>
      <c r="R28" s="78" t="str">
        <f t="shared" si="1"/>
        <v/>
      </c>
      <c r="S28" s="78" t="str">
        <f t="shared" si="5"/>
        <v/>
      </c>
      <c r="T28" s="78" t="str">
        <f t="shared" si="6"/>
        <v>-- 死亡フラグ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milscm_2023_010.azn_202310_backup_text_mml_mmlre_pi.death IS '死亡フラグ';</v>
      </c>
    </row>
    <row r="29" spans="1:52" s="25" customFormat="1" ht="19.5" thickBot="1">
      <c r="A29" s="4"/>
      <c r="B29" s="27">
        <f>ROW()-12</f>
        <v>17</v>
      </c>
      <c r="C29" s="57" t="s">
        <v>1325</v>
      </c>
      <c r="D29" s="57" t="s">
        <v>1326</v>
      </c>
      <c r="E29" s="56"/>
      <c r="F29" s="56" t="s">
        <v>1866</v>
      </c>
      <c r="G29" s="56" t="str">
        <f t="shared" si="3"/>
        <v>text</v>
      </c>
      <c r="H29" s="59"/>
      <c r="I29" s="60"/>
      <c r="J29" s="64" t="s">
        <v>2839</v>
      </c>
      <c r="N29" s="78"/>
      <c r="O29" s="78"/>
      <c r="P29" s="78" t="str">
        <f t="shared" si="4"/>
        <v>,death_date</v>
      </c>
      <c r="Q29" s="78" t="str">
        <f t="shared" si="0"/>
        <v>TEXT</v>
      </c>
      <c r="R29" s="78" t="str">
        <f t="shared" si="1"/>
        <v/>
      </c>
      <c r="S29" s="78" t="str">
        <f t="shared" si="5"/>
        <v/>
      </c>
      <c r="T29" s="78" t="str">
        <f t="shared" si="6"/>
        <v>-- 死亡日時</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milscm_2023_010.azn_202310_backup_text_mml_mmlre_pi.death_date IS '死亡日時';</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E00-000000000000}"/>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AZ3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ENT_01_A6-58</v>
      </c>
      <c r="E6" s="239"/>
      <c r="F6" s="239"/>
      <c r="G6" s="239"/>
      <c r="H6" s="239"/>
      <c r="I6" s="239"/>
      <c r="J6" s="240"/>
    </row>
    <row r="7" spans="1:45">
      <c r="B7" s="228" t="s">
        <v>115</v>
      </c>
      <c r="C7" s="229"/>
      <c r="D7" s="230" t="s">
        <v>3098</v>
      </c>
      <c r="E7" s="231"/>
      <c r="F7" s="231"/>
      <c r="G7" s="231"/>
      <c r="H7" s="231"/>
      <c r="I7" s="231"/>
      <c r="J7" s="232"/>
    </row>
    <row r="8" spans="1:45">
      <c r="B8" s="228" t="s">
        <v>116</v>
      </c>
      <c r="C8" s="229"/>
      <c r="D8" s="230" t="str">
        <f>エンティティ一覧!AE2&amp;"_"&amp;D5&amp;"_text_mml_mmlre_pi_address"</f>
        <v>azn_202310_backup_text_mml_mmlre_pi_address</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milscm_2023_010.azn_202310_backup_text_mml_mmlre_pi_address;</v>
      </c>
      <c r="O10" s="78"/>
      <c r="P10" s="78"/>
      <c r="Q10" s="78"/>
      <c r="R10" s="78"/>
      <c r="S10" s="78"/>
      <c r="T10" s="78"/>
      <c r="AJ10" s="78" t="str">
        <f>"ALTER TABLE ONLY "&amp;エンティティ一覧!$O$2&amp;"."&amp;D$8</f>
        <v>ALTER TABLE ONLY milscm_2023_010.azn_202310_backup_text_mml_mmlre_pi_address</v>
      </c>
      <c r="AS10" s="78" t="str">
        <f>"ALTER TABLE "&amp;エンティティ一覧!$O$2&amp;"."&amp;D$8&amp;" OWNER TO pgmisgrp1;"</f>
        <v>ALTER TABLE milscm_2023_010.azn_202310_backup_text_mml_mmlre_pi_address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milscm_2023_010.azn_202310_backup_text_mml_mmlre_pi_address</v>
      </c>
      <c r="O11" s="78"/>
      <c r="P11" s="78"/>
      <c r="Q11" s="78"/>
      <c r="R11" s="78"/>
      <c r="S11" s="78"/>
      <c r="T11" s="78"/>
      <c r="AJ11" s="78" t="str">
        <f>"ADD CONSTRAINT "&amp;D$8&amp;"_pkey PRIMARY KEY"</f>
        <v>ADD CONSTRAINT azn_202310_backup_text_mml_mmlre_pi_address_pkey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milscm_2023_010.azn_202310_backup_text_mml_mmlre_pi_address IS 'バックアップ_MML_紹介状モジュール_患者情報住所';</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8" si="0">UPPER(G13)</f>
        <v>INTEGER</v>
      </c>
      <c r="R13" s="78" t="str">
        <f t="shared" ref="R13:R28"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milscm_2023_010.azn_202310_backup_text_mml_mmlre_pi_address.zip_no IS 'ZipファイルNo';</v>
      </c>
    </row>
    <row r="14" spans="1:45" s="25" customFormat="1">
      <c r="A14" s="4"/>
      <c r="B14" s="21">
        <f t="shared" ref="B14:B27" si="2">ROW()-12</f>
        <v>2</v>
      </c>
      <c r="C14" s="6" t="s">
        <v>2828</v>
      </c>
      <c r="D14" s="6" t="s">
        <v>2829</v>
      </c>
      <c r="E14" s="8" t="s">
        <v>127</v>
      </c>
      <c r="F14" s="7" t="s">
        <v>2827</v>
      </c>
      <c r="G14" s="7" t="str">
        <f t="shared" ref="G14:G28" si="3">IF(F14="フラグ","boolean",IF(F14="文字列","text",IF(F14="整数","integer",IF(F14="実数","numeric",""))))</f>
        <v>integer</v>
      </c>
      <c r="H14" s="26"/>
      <c r="I14" s="10" t="s">
        <v>127</v>
      </c>
      <c r="J14" s="11"/>
      <c r="M14" s="4"/>
      <c r="N14" s="78"/>
      <c r="O14" s="78"/>
      <c r="P14" s="78" t="str">
        <f t="shared" ref="P14:P28" si="4">IF(B14&lt;&gt;1,","&amp;D14,D14)</f>
        <v>,file_no</v>
      </c>
      <c r="Q14" s="78" t="str">
        <f t="shared" si="0"/>
        <v>INTEGER</v>
      </c>
      <c r="R14" s="78" t="str">
        <f t="shared" si="1"/>
        <v/>
      </c>
      <c r="S14" s="78" t="str">
        <f t="shared" ref="S14:S28" si="5">IF(I14="○","NOT NULL","")</f>
        <v>NOT NULL</v>
      </c>
      <c r="T14" s="78" t="str">
        <f t="shared" ref="T14:T28"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milscm_2023_010.azn_202310_backup_text_mml_mmlre_pi_address.file_no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milscm_2023_010.azn_202310_backup_text_mml_mmlre_pi_address.body_no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milscm_2023_010.azn_202310_backup_text_mml_mmlre_pi_address.facility_id_mml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milscm_2023_010.azn_202310_backup_text_mml_mmlre_pi_address.master_id IS '患者ID';</v>
      </c>
    </row>
    <row r="18" spans="1:52" s="25" customFormat="1">
      <c r="A18" s="4"/>
      <c r="B18" s="21">
        <f t="shared" si="2"/>
        <v>6</v>
      </c>
      <c r="C18" s="6" t="s">
        <v>3099</v>
      </c>
      <c r="D18" s="6" t="s">
        <v>3100</v>
      </c>
      <c r="E18" s="8" t="s">
        <v>127</v>
      </c>
      <c r="F18" s="7" t="s">
        <v>2827</v>
      </c>
      <c r="G18" s="7" t="str">
        <f t="shared" si="3"/>
        <v>integer</v>
      </c>
      <c r="H18" s="26"/>
      <c r="I18" s="10" t="s">
        <v>127</v>
      </c>
      <c r="J18" s="11"/>
      <c r="M18" s="4"/>
      <c r="N18" s="78"/>
      <c r="O18" s="78"/>
      <c r="P18" s="78" t="str">
        <f t="shared" si="4"/>
        <v>,address_no</v>
      </c>
      <c r="Q18" s="78" t="str">
        <f t="shared" si="0"/>
        <v>INTEGER</v>
      </c>
      <c r="R18" s="78" t="str">
        <f t="shared" si="1"/>
        <v/>
      </c>
      <c r="S18" s="78" t="str">
        <f t="shared" si="5"/>
        <v>NOT NULL</v>
      </c>
      <c r="T18" s="78" t="str">
        <f t="shared" si="6"/>
        <v>-- 住所No</v>
      </c>
      <c r="U18" s="4"/>
      <c r="AA18" s="4"/>
      <c r="AB18" s="4"/>
      <c r="AC18" s="4"/>
      <c r="AD18" s="4"/>
      <c r="AE18" s="4"/>
      <c r="AF18" s="4"/>
      <c r="AG18" s="4"/>
      <c r="AH18" s="4"/>
      <c r="AI18" s="4"/>
      <c r="AJ18" s="78" t="str">
        <f>IF(E18="○",IF(COUNTA(E$13:E18)=1,"",",")&amp;D18,"")</f>
        <v>,address_no</v>
      </c>
      <c r="AK18" s="4"/>
      <c r="AL18" s="4"/>
      <c r="AM18" s="4"/>
      <c r="AN18" s="4"/>
      <c r="AO18" s="4"/>
      <c r="AP18" s="4"/>
      <c r="AQ18" s="4"/>
      <c r="AR18" s="4"/>
      <c r="AS18" s="78" t="str">
        <f>"COMMENT ON COLUMN "&amp;エンティティ一覧!$O$2&amp;"."&amp;D$8&amp;"."&amp;D18&amp;" IS '"&amp;C18&amp;"';"</f>
        <v>COMMENT ON COLUMN milscm_2023_010.azn_202310_backup_text_mml_mmlre_pi_address.address_no IS '住所No';</v>
      </c>
    </row>
    <row r="19" spans="1:52" s="25" customFormat="1">
      <c r="A19" s="4"/>
      <c r="B19" s="21">
        <f t="shared" si="2"/>
        <v>7</v>
      </c>
      <c r="C19" s="6" t="s">
        <v>3101</v>
      </c>
      <c r="D19" s="6" t="s">
        <v>3102</v>
      </c>
      <c r="E19" s="8"/>
      <c r="F19" s="7" t="s">
        <v>1866</v>
      </c>
      <c r="G19" s="7" t="str">
        <f t="shared" si="3"/>
        <v>text</v>
      </c>
      <c r="H19" s="26"/>
      <c r="I19" s="10"/>
      <c r="J19" s="11"/>
      <c r="M19" s="4"/>
      <c r="N19" s="78"/>
      <c r="O19" s="78"/>
      <c r="P19" s="78" t="str">
        <f t="shared" si="4"/>
        <v>,rep_code</v>
      </c>
      <c r="Q19" s="78" t="str">
        <f t="shared" si="0"/>
        <v>TEXT</v>
      </c>
      <c r="R19" s="78" t="str">
        <f t="shared" si="1"/>
        <v/>
      </c>
      <c r="S19" s="78" t="str">
        <f t="shared" si="5"/>
        <v/>
      </c>
      <c r="T19" s="78" t="str">
        <f t="shared" si="6"/>
        <v>-- 表記法</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milscm_2023_010.azn_202310_backup_text_mml_mmlre_pi_address.rep_code IS '表記法';</v>
      </c>
    </row>
    <row r="20" spans="1:52" s="25" customFormat="1">
      <c r="A20" s="4"/>
      <c r="B20" s="21">
        <f t="shared" si="2"/>
        <v>8</v>
      </c>
      <c r="C20" s="6" t="s">
        <v>3103</v>
      </c>
      <c r="D20" s="6" t="s">
        <v>3104</v>
      </c>
      <c r="E20" s="8"/>
      <c r="F20" s="7" t="s">
        <v>1866</v>
      </c>
      <c r="G20" s="7" t="str">
        <f t="shared" si="3"/>
        <v>text</v>
      </c>
      <c r="H20" s="26"/>
      <c r="I20" s="10"/>
      <c r="J20" s="11"/>
      <c r="M20" s="4"/>
      <c r="N20" s="78"/>
      <c r="O20" s="78"/>
      <c r="P20" s="78" t="str">
        <f t="shared" si="4"/>
        <v>,address_class</v>
      </c>
      <c r="Q20" s="78" t="str">
        <f t="shared" si="0"/>
        <v>TEXT</v>
      </c>
      <c r="R20" s="78" t="str">
        <f t="shared" si="1"/>
        <v/>
      </c>
      <c r="S20" s="78" t="str">
        <f t="shared" si="5"/>
        <v/>
      </c>
      <c r="T20" s="78" t="str">
        <f t="shared" si="6"/>
        <v>-- 住所の種類コード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milscm_2023_010.azn_202310_backup_text_mml_mmlre_pi_address.address_class IS '住所の種類コード';</v>
      </c>
    </row>
    <row r="21" spans="1:52" s="25" customFormat="1">
      <c r="A21" s="4"/>
      <c r="B21" s="21">
        <f t="shared" si="2"/>
        <v>9</v>
      </c>
      <c r="C21" s="6" t="s">
        <v>116</v>
      </c>
      <c r="D21" s="6" t="s">
        <v>2855</v>
      </c>
      <c r="E21" s="8"/>
      <c r="F21" s="7" t="s">
        <v>1866</v>
      </c>
      <c r="G21" s="7" t="str">
        <f t="shared" si="3"/>
        <v>text</v>
      </c>
      <c r="H21" s="26"/>
      <c r="I21" s="10"/>
      <c r="J21" s="11"/>
      <c r="M21" s="4"/>
      <c r="N21" s="78"/>
      <c r="O21" s="78"/>
      <c r="P21" s="78" t="str">
        <f t="shared" si="4"/>
        <v>,table_id</v>
      </c>
      <c r="Q21" s="78" t="str">
        <f t="shared" si="0"/>
        <v>TEXT</v>
      </c>
      <c r="R21" s="78" t="str">
        <f t="shared" si="1"/>
        <v/>
      </c>
      <c r="S21" s="78" t="str">
        <f t="shared" si="5"/>
        <v/>
      </c>
      <c r="T21" s="78" t="str">
        <f t="shared" si="6"/>
        <v>-- テーブル名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milscm_2023_010.azn_202310_backup_text_mml_mmlre_pi_address.table_id IS 'テーブル名';</v>
      </c>
    </row>
    <row r="22" spans="1:52" s="25" customFormat="1">
      <c r="A22" s="4"/>
      <c r="B22" s="21">
        <f t="shared" si="2"/>
        <v>10</v>
      </c>
      <c r="C22" s="6" t="s">
        <v>3105</v>
      </c>
      <c r="D22" s="6" t="s">
        <v>3106</v>
      </c>
      <c r="E22" s="8"/>
      <c r="F22" s="7" t="s">
        <v>1866</v>
      </c>
      <c r="G22" s="7" t="str">
        <f t="shared" si="3"/>
        <v>text</v>
      </c>
      <c r="H22" s="26"/>
      <c r="I22" s="10"/>
      <c r="J22" s="11"/>
      <c r="M22" s="4"/>
      <c r="N22" s="78"/>
      <c r="O22" s="78"/>
      <c r="P22" s="78" t="str">
        <f t="shared" si="4"/>
        <v>,address_full</v>
      </c>
      <c r="Q22" s="78" t="str">
        <f t="shared" si="0"/>
        <v>TEXT</v>
      </c>
      <c r="R22" s="78" t="str">
        <f t="shared" si="1"/>
        <v/>
      </c>
      <c r="S22" s="78" t="str">
        <f t="shared" si="5"/>
        <v/>
      </c>
      <c r="T22" s="78" t="str">
        <f t="shared" si="6"/>
        <v>-- 一連住所</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milscm_2023_010.azn_202310_backup_text_mml_mmlre_pi_address.address_full IS '一連住所';</v>
      </c>
    </row>
    <row r="23" spans="1:52" s="25" customFormat="1">
      <c r="A23" s="4"/>
      <c r="B23" s="21">
        <f t="shared" si="2"/>
        <v>11</v>
      </c>
      <c r="C23" s="6" t="s">
        <v>961</v>
      </c>
      <c r="D23" s="6" t="s">
        <v>962</v>
      </c>
      <c r="E23" s="8"/>
      <c r="F23" s="7" t="s">
        <v>1866</v>
      </c>
      <c r="G23" s="7" t="str">
        <f t="shared" si="3"/>
        <v>text</v>
      </c>
      <c r="H23" s="26"/>
      <c r="I23" s="10"/>
      <c r="J23" s="11"/>
      <c r="M23" s="4"/>
      <c r="N23" s="78"/>
      <c r="O23" s="78"/>
      <c r="P23" s="78" t="str">
        <f t="shared" si="4"/>
        <v>,prefecture</v>
      </c>
      <c r="Q23" s="78" t="str">
        <f t="shared" si="0"/>
        <v>TEXT</v>
      </c>
      <c r="R23" s="78" t="str">
        <f t="shared" si="1"/>
        <v/>
      </c>
      <c r="S23" s="78" t="str">
        <f t="shared" si="5"/>
        <v/>
      </c>
      <c r="T23" s="78" t="str">
        <f t="shared" si="6"/>
        <v>-- 都道府県</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milscm_2023_010.azn_202310_backup_text_mml_mmlre_pi_address.prefecture IS '都道府県';</v>
      </c>
    </row>
    <row r="24" spans="1:52" s="25" customFormat="1">
      <c r="A24" s="4"/>
      <c r="B24" s="21">
        <f t="shared" si="2"/>
        <v>12</v>
      </c>
      <c r="C24" s="6" t="s">
        <v>3107</v>
      </c>
      <c r="D24" s="6" t="s">
        <v>1947</v>
      </c>
      <c r="E24" s="8"/>
      <c r="F24" s="7" t="s">
        <v>1866</v>
      </c>
      <c r="G24" s="7" t="str">
        <f t="shared" si="3"/>
        <v>text</v>
      </c>
      <c r="H24" s="26"/>
      <c r="I24" s="10"/>
      <c r="J24" s="11"/>
      <c r="M24" s="4"/>
      <c r="N24" s="78"/>
      <c r="O24" s="78"/>
      <c r="P24" s="78" t="str">
        <f t="shared" si="4"/>
        <v>,city</v>
      </c>
      <c r="Q24" s="78" t="str">
        <f t="shared" si="0"/>
        <v>TEXT</v>
      </c>
      <c r="R24" s="78" t="str">
        <f t="shared" si="1"/>
        <v/>
      </c>
      <c r="S24" s="78" t="str">
        <f t="shared" si="5"/>
        <v/>
      </c>
      <c r="T24" s="78" t="str">
        <f t="shared" si="6"/>
        <v>-- 市，区，郡</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milscm_2023_010.azn_202310_backup_text_mml_mmlre_pi_address.city IS '市，区，郡';</v>
      </c>
    </row>
    <row r="25" spans="1:52" s="25" customFormat="1">
      <c r="A25" s="4"/>
      <c r="B25" s="21">
        <f t="shared" si="2"/>
        <v>13</v>
      </c>
      <c r="C25" s="6" t="s">
        <v>3108</v>
      </c>
      <c r="D25" s="6" t="s">
        <v>3109</v>
      </c>
      <c r="E25" s="8"/>
      <c r="F25" s="7" t="s">
        <v>1866</v>
      </c>
      <c r="G25" s="7" t="str">
        <f t="shared" si="3"/>
        <v>text</v>
      </c>
      <c r="H25" s="26"/>
      <c r="I25" s="10"/>
      <c r="J25" s="11"/>
      <c r="M25" s="4"/>
      <c r="N25" s="78"/>
      <c r="O25" s="78"/>
      <c r="P25" s="78" t="str">
        <f t="shared" si="4"/>
        <v>,town</v>
      </c>
      <c r="Q25" s="78" t="str">
        <f t="shared" si="0"/>
        <v>TEXT</v>
      </c>
      <c r="R25" s="78" t="str">
        <f t="shared" si="1"/>
        <v/>
      </c>
      <c r="S25" s="78" t="str">
        <f t="shared" si="5"/>
        <v/>
      </c>
      <c r="T25" s="78" t="str">
        <f t="shared" si="6"/>
        <v>-- 町，村</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milscm_2023_010.azn_202310_backup_text_mml_mmlre_pi_address.town IS '町，村';</v>
      </c>
    </row>
    <row r="26" spans="1:52" s="25" customFormat="1">
      <c r="A26" s="4"/>
      <c r="B26" s="21">
        <f t="shared" si="2"/>
        <v>14</v>
      </c>
      <c r="C26" s="6" t="s">
        <v>3110</v>
      </c>
      <c r="D26" s="6" t="s">
        <v>3111</v>
      </c>
      <c r="E26" s="8"/>
      <c r="F26" s="7" t="s">
        <v>1866</v>
      </c>
      <c r="G26" s="7" t="str">
        <f t="shared" si="3"/>
        <v>text</v>
      </c>
      <c r="H26" s="26"/>
      <c r="I26" s="10"/>
      <c r="J26" s="11"/>
      <c r="M26" s="4"/>
      <c r="N26" s="78"/>
      <c r="O26" s="78"/>
      <c r="P26" s="78" t="str">
        <f t="shared" si="4"/>
        <v>,home_number</v>
      </c>
      <c r="Q26" s="78" t="str">
        <f t="shared" si="0"/>
        <v>TEXT</v>
      </c>
      <c r="R26" s="78" t="str">
        <f t="shared" si="1"/>
        <v/>
      </c>
      <c r="S26" s="78" t="str">
        <f t="shared" si="5"/>
        <v/>
      </c>
      <c r="T26" s="78" t="str">
        <f t="shared" si="6"/>
        <v>-- 番地，丁目等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milscm_2023_010.azn_202310_backup_text_mml_mmlre_pi_address.home_number IS '番地，丁目等';</v>
      </c>
    </row>
    <row r="27" spans="1:52" s="25" customFormat="1">
      <c r="A27" s="4"/>
      <c r="B27" s="21">
        <f t="shared" si="2"/>
        <v>15</v>
      </c>
      <c r="C27" s="6" t="s">
        <v>3112</v>
      </c>
      <c r="D27" s="6" t="s">
        <v>3113</v>
      </c>
      <c r="E27" s="8"/>
      <c r="F27" s="7" t="s">
        <v>1866</v>
      </c>
      <c r="G27" s="7" t="str">
        <f t="shared" si="3"/>
        <v>text</v>
      </c>
      <c r="H27" s="26"/>
      <c r="I27" s="10"/>
      <c r="J27" s="11"/>
      <c r="M27" s="4"/>
      <c r="N27" s="78"/>
      <c r="O27" s="78"/>
      <c r="P27" s="78" t="str">
        <f t="shared" si="4"/>
        <v>,zip</v>
      </c>
      <c r="Q27" s="78" t="str">
        <f t="shared" si="0"/>
        <v>TEXT</v>
      </c>
      <c r="R27" s="78" t="str">
        <f t="shared" si="1"/>
        <v/>
      </c>
      <c r="S27" s="78" t="str">
        <f t="shared" si="5"/>
        <v/>
      </c>
      <c r="T27" s="78" t="str">
        <f t="shared" si="6"/>
        <v>-- 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milscm_2023_010.azn_202310_backup_text_mml_mmlre_pi_address.zip IS '郵便番号';</v>
      </c>
    </row>
    <row r="28" spans="1:52" s="25" customFormat="1" ht="35.450000000000003" customHeight="1" thickBot="1">
      <c r="A28" s="4"/>
      <c r="B28" s="27">
        <f>ROW()-12</f>
        <v>16</v>
      </c>
      <c r="C28" s="57" t="s">
        <v>3114</v>
      </c>
      <c r="D28" s="57" t="s">
        <v>3115</v>
      </c>
      <c r="E28" s="56"/>
      <c r="F28" s="56" t="s">
        <v>1866</v>
      </c>
      <c r="G28" s="56" t="str">
        <f t="shared" si="3"/>
        <v>text</v>
      </c>
      <c r="H28" s="59"/>
      <c r="I28" s="60"/>
      <c r="J28" s="64"/>
      <c r="N28" s="78"/>
      <c r="O28" s="78"/>
      <c r="P28" s="78" t="str">
        <f t="shared" si="4"/>
        <v>,country_code</v>
      </c>
      <c r="Q28" s="78" t="str">
        <f t="shared" si="0"/>
        <v>TEXT</v>
      </c>
      <c r="R28" s="78" t="str">
        <f t="shared" si="1"/>
        <v/>
      </c>
      <c r="S28" s="78" t="str">
        <f t="shared" si="5"/>
        <v/>
      </c>
      <c r="T28" s="78" t="str">
        <f t="shared" si="6"/>
        <v>-- 国コード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milscm_2023_010.azn_202310_backup_text_mml_mmlre_pi_address.country_code IS '国コード';</v>
      </c>
    </row>
    <row r="29" spans="1:52">
      <c r="L29" s="25"/>
      <c r="M29" s="25"/>
      <c r="N29" s="78" t="s">
        <v>142</v>
      </c>
      <c r="O29" s="78"/>
      <c r="P29" s="78"/>
      <c r="Q29" s="78"/>
      <c r="R29" s="78"/>
      <c r="S29" s="78"/>
      <c r="T29" s="78"/>
      <c r="V29" s="25"/>
      <c r="W29" s="25"/>
      <c r="X29" s="25"/>
      <c r="Y29" s="25"/>
      <c r="Z29" s="25"/>
      <c r="AJ29" s="78"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5F00-000000000000}"/>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ENT_01_A6-59</v>
      </c>
      <c r="E6" s="239"/>
      <c r="F6" s="239"/>
      <c r="G6" s="239"/>
      <c r="H6" s="239"/>
      <c r="I6" s="239"/>
      <c r="J6" s="240"/>
    </row>
    <row r="7" spans="1:45">
      <c r="B7" s="228" t="s">
        <v>115</v>
      </c>
      <c r="C7" s="229"/>
      <c r="D7" s="230" t="s">
        <v>3116</v>
      </c>
      <c r="E7" s="231"/>
      <c r="F7" s="231"/>
      <c r="G7" s="231"/>
      <c r="H7" s="231"/>
      <c r="I7" s="231"/>
      <c r="J7" s="232"/>
    </row>
    <row r="8" spans="1:45">
      <c r="B8" s="228" t="s">
        <v>116</v>
      </c>
      <c r="C8" s="229"/>
      <c r="D8" s="230" t="str">
        <f>エンティティ一覧!AE2&amp;"_"&amp;D5&amp;"_text_mml_mmlre_ps"</f>
        <v>azn_202310_backup_text_mml_mmlre_ps</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milscm_2023_010.azn_202310_backup_text_mml_mmlre_ps;</v>
      </c>
      <c r="O10" s="78"/>
      <c r="P10" s="78"/>
      <c r="Q10" s="78"/>
      <c r="R10" s="78"/>
      <c r="S10" s="78"/>
      <c r="T10" s="78"/>
      <c r="AJ10" s="78" t="str">
        <f>"ALTER TABLE ONLY "&amp;エンティティ一覧!$O$2&amp;"."&amp;D$8</f>
        <v>ALTER TABLE ONLY milscm_2023_010.azn_202310_backup_text_mml_mmlre_ps</v>
      </c>
      <c r="AS10" s="78" t="str">
        <f>"ALTER TABLE "&amp;エンティティ一覧!$O$2&amp;"."&amp;D$8&amp;" OWNER TO pgmisgrp1;"</f>
        <v>ALTER TABLE milscm_2023_010.azn_202310_backup_text_mml_mmlre_ps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milscm_2023_010.azn_202310_backup_text_mml_mmlre_ps</v>
      </c>
      <c r="O11" s="78"/>
      <c r="P11" s="78"/>
      <c r="Q11" s="78"/>
      <c r="R11" s="78"/>
      <c r="S11" s="78"/>
      <c r="T11" s="78"/>
      <c r="AJ11" s="78" t="str">
        <f>"ADD CONSTRAINT "&amp;D$8&amp;"_pkey PRIMARY KEY"</f>
        <v>ADD CONSTRAINT azn_202310_backup_text_mml_mmlre_ps_pkey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 IS 'バックアップ_MML_紹介状モジュール_処方箋';</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milscm_2023_010.azn_202310_backup_text_mml_mmlre_ps.master_id IS '患者ID';</v>
      </c>
    </row>
    <row r="18" spans="1:52" s="25" customFormat="1" ht="37.5">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milscm_2023_010.azn_202310_backup_text_mml_mmlre_ps.issued_to IS '院外、院内処方箋の別';</v>
      </c>
    </row>
    <row r="19" spans="1:52" s="25" customFormat="1" ht="31.5">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milscm_2023_010.azn_202310_backup_text_mml_mmlre_ps.narcotic_prescription_license_no IS '麻薬施用者番号';</v>
      </c>
    </row>
    <row r="20" spans="1:52" s="25" customFormat="1" ht="35.450000000000003" customHeight="1"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000-000000000000}"/>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ENT_01_A6-60</v>
      </c>
      <c r="E6" s="239"/>
      <c r="F6" s="239"/>
      <c r="G6" s="239"/>
      <c r="H6" s="239"/>
      <c r="I6" s="239"/>
      <c r="J6" s="240"/>
    </row>
    <row r="7" spans="1:45">
      <c r="B7" s="228" t="s">
        <v>115</v>
      </c>
      <c r="C7" s="229"/>
      <c r="D7" s="230" t="s">
        <v>3117</v>
      </c>
      <c r="E7" s="231"/>
      <c r="F7" s="231"/>
      <c r="G7" s="231"/>
      <c r="H7" s="231"/>
      <c r="I7" s="231"/>
      <c r="J7" s="232"/>
    </row>
    <row r="8" spans="1:45">
      <c r="B8" s="228" t="s">
        <v>116</v>
      </c>
      <c r="C8" s="229"/>
      <c r="D8" s="230" t="str">
        <f>エンティティ一覧!AE2&amp;"_"&amp;D5&amp;"_text_mml_mmlre_ps_medication"</f>
        <v>azn_202310_backup_text_mml_mmlre_ps_medication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milscm_2023_010.azn_202310_backup_text_mml_mmlre_ps_medication;</v>
      </c>
      <c r="O10" s="78"/>
      <c r="P10" s="78"/>
      <c r="Q10" s="78"/>
      <c r="R10" s="78"/>
      <c r="S10" s="78"/>
      <c r="T10" s="78"/>
      <c r="AJ10" s="78" t="str">
        <f>"ALTER TABLE ONLY "&amp;エンティティ一覧!$O$2&amp;"."&amp;D$8</f>
        <v>ALTER TABLE ONLY milscm_2023_010.azn_202310_backup_text_mml_mmlre_ps_medication</v>
      </c>
      <c r="AS10" s="78" t="str">
        <f>"ALTER TABLE "&amp;エンティティ一覧!$O$2&amp;"."&amp;D$8&amp;" OWNER TO pgmisgrp1;"</f>
        <v>ALTER TABLE milscm_2023_010.azn_202310_backup_text_mml_mmlre_ps_medication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milscm_2023_010.azn_202310_backup_text_mml_mmlre_ps_medication</v>
      </c>
      <c r="O11" s="78"/>
      <c r="P11" s="78"/>
      <c r="Q11" s="78"/>
      <c r="R11" s="78"/>
      <c r="S11" s="78"/>
      <c r="T11" s="78"/>
      <c r="AJ11" s="78" t="str">
        <f>"ADD CONSTRAINT "&amp;D$8&amp;"_pkey PRIMARY KEY"</f>
        <v>ADD CONSTRAINT azn_202310_backup_text_mml_mmlre_ps_medication_pkey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milscm_2023_010.azn_202310_backup_text_mml_mmlre_ps_medication IS 'バックアップ_MML_紹介状モジュール_処方箋投薬';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milscm_2023_010.azn_202310_backup_text_mml_mmlre_ps_medication.medication_no IS '投薬No';</v>
      </c>
    </row>
    <row r="19" spans="1:45" s="25" customFormat="1">
      <c r="A19" s="4"/>
      <c r="B19" s="21">
        <f t="shared" si="2"/>
        <v>7</v>
      </c>
      <c r="C19" s="6" t="s">
        <v>2867</v>
      </c>
      <c r="D19" s="6" t="s">
        <v>2868</v>
      </c>
      <c r="E19" s="8"/>
      <c r="F19" s="7" t="s">
        <v>1866</v>
      </c>
      <c r="G19" s="7" t="str">
        <f t="shared" ref="G19:G31" si="7">IF(F19="フラグ","boolean",IF(F19="文字列","text",IF(F19="整数","integer",IF(F19="実数","numeric",""))))</f>
        <v>text</v>
      </c>
      <c r="H19" s="26"/>
      <c r="I19" s="10"/>
      <c r="J19" s="11"/>
      <c r="M19" s="4"/>
      <c r="N19" s="78"/>
      <c r="O19" s="78"/>
      <c r="P19" s="78" t="str">
        <f t="shared" ref="P19:P31" si="8">IF(B19&lt;&gt;1,","&amp;D19,D19)</f>
        <v>,medicine_name</v>
      </c>
      <c r="Q19" s="78" t="str">
        <f t="shared" ref="Q19:Q31" si="9">UPPER(G19)</f>
        <v>TEXT</v>
      </c>
      <c r="R19" s="78" t="str">
        <f t="shared" ref="R19:R31" si="10">IF(H19&lt;&gt;"","default "&amp;IF(G19="text","'"&amp;H19&amp;"'",H19),"")</f>
        <v/>
      </c>
      <c r="S19" s="78" t="str">
        <f t="shared" ref="S19:S31" si="11">IF(I19="○","NOT NULL","")</f>
        <v/>
      </c>
      <c r="T19" s="78" t="str">
        <f t="shared" ref="T19:T31" si="12">"-- "&amp;C19</f>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milscm_2023_010.azn_202310_backup_text_mml_mmlre_ps_medication.medicine_name IS '薬剤名称';</v>
      </c>
    </row>
    <row r="20" spans="1:45" s="25" customFormat="1">
      <c r="A20" s="4"/>
      <c r="B20" s="21">
        <f t="shared" si="2"/>
        <v>8</v>
      </c>
      <c r="C20" s="6" t="s">
        <v>2869</v>
      </c>
      <c r="D20" s="6" t="s">
        <v>2870</v>
      </c>
      <c r="E20" s="8"/>
      <c r="F20" s="7" t="s">
        <v>1866</v>
      </c>
      <c r="G20" s="7" t="str">
        <f t="shared" si="7"/>
        <v>text</v>
      </c>
      <c r="H20" s="26"/>
      <c r="I20" s="10"/>
      <c r="J20" s="11"/>
      <c r="M20" s="4"/>
      <c r="N20" s="78"/>
      <c r="O20" s="78"/>
      <c r="P20" s="78" t="str">
        <f t="shared" si="8"/>
        <v>,dose</v>
      </c>
      <c r="Q20" s="78" t="str">
        <f t="shared" si="9"/>
        <v>TEXT</v>
      </c>
      <c r="R20" s="78" t="str">
        <f t="shared" si="10"/>
        <v/>
      </c>
      <c r="S20" s="78" t="str">
        <f t="shared" si="11"/>
        <v/>
      </c>
      <c r="T20" s="78" t="str">
        <f t="shared" si="12"/>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milscm_2023_010.azn_202310_backup_text_mml_mmlre_ps_medication.dose IS '用量';</v>
      </c>
    </row>
    <row r="21" spans="1:45" s="25" customFormat="1">
      <c r="A21" s="4"/>
      <c r="B21" s="21">
        <f t="shared" si="2"/>
        <v>9</v>
      </c>
      <c r="C21" s="6" t="s">
        <v>2871</v>
      </c>
      <c r="D21" s="6" t="s">
        <v>2872</v>
      </c>
      <c r="E21" s="8"/>
      <c r="F21" s="7" t="s">
        <v>1866</v>
      </c>
      <c r="G21" s="7" t="str">
        <f t="shared" si="7"/>
        <v>text</v>
      </c>
      <c r="H21" s="26"/>
      <c r="I21" s="10"/>
      <c r="J21" s="11"/>
      <c r="M21" s="4"/>
      <c r="N21" s="78"/>
      <c r="O21" s="78"/>
      <c r="P21" s="78" t="str">
        <f t="shared" si="8"/>
        <v>,dose_unit</v>
      </c>
      <c r="Q21" s="78" t="str">
        <f t="shared" si="9"/>
        <v>TEXT</v>
      </c>
      <c r="R21" s="78" t="str">
        <f t="shared" si="10"/>
        <v/>
      </c>
      <c r="S21" s="78" t="str">
        <f t="shared" si="11"/>
        <v/>
      </c>
      <c r="T21" s="78" t="str">
        <f t="shared" si="12"/>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milscm_2023_010.azn_202310_backup_text_mml_mmlre_ps_medication.dose_unit IS '用量の単位';</v>
      </c>
    </row>
    <row r="22" spans="1:45" s="25" customFormat="1">
      <c r="A22" s="4"/>
      <c r="B22" s="21">
        <f t="shared" si="2"/>
        <v>10</v>
      </c>
      <c r="C22" s="6" t="s">
        <v>2873</v>
      </c>
      <c r="D22" s="6" t="s">
        <v>2874</v>
      </c>
      <c r="E22" s="8"/>
      <c r="F22" s="7" t="s">
        <v>1866</v>
      </c>
      <c r="G22" s="7" t="str">
        <f t="shared" si="7"/>
        <v>text</v>
      </c>
      <c r="H22" s="26"/>
      <c r="I22" s="10"/>
      <c r="J22" s="11"/>
      <c r="M22" s="4"/>
      <c r="N22" s="78"/>
      <c r="O22" s="78"/>
      <c r="P22" s="78" t="str">
        <f t="shared" si="8"/>
        <v>,frequency_per_day</v>
      </c>
      <c r="Q22" s="78" t="str">
        <f t="shared" si="9"/>
        <v>TEXT</v>
      </c>
      <c r="R22" s="78" t="str">
        <f t="shared" si="10"/>
        <v/>
      </c>
      <c r="S22" s="78" t="str">
        <f t="shared" si="11"/>
        <v/>
      </c>
      <c r="T22" s="78" t="str">
        <f t="shared" si="12"/>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milscm_2023_010.azn_202310_backup_text_mml_mmlre_ps_medication.frequency_per_day IS '一日の内服回数';</v>
      </c>
    </row>
    <row r="23" spans="1:45" s="25" customFormat="1">
      <c r="A23" s="4"/>
      <c r="B23" s="21">
        <f t="shared" si="2"/>
        <v>11</v>
      </c>
      <c r="C23" s="6" t="s">
        <v>2875</v>
      </c>
      <c r="D23" s="6" t="s">
        <v>2834</v>
      </c>
      <c r="E23" s="8"/>
      <c r="F23" s="7" t="s">
        <v>1866</v>
      </c>
      <c r="G23" s="7" t="str">
        <f t="shared" si="7"/>
        <v>text</v>
      </c>
      <c r="H23" s="26"/>
      <c r="I23" s="10"/>
      <c r="J23" s="11" t="s">
        <v>2896</v>
      </c>
      <c r="M23" s="4"/>
      <c r="N23" s="78"/>
      <c r="O23" s="78"/>
      <c r="P23" s="78" t="str">
        <f t="shared" si="8"/>
        <v>,start_date</v>
      </c>
      <c r="Q23" s="78" t="str">
        <f t="shared" si="9"/>
        <v>TEXT</v>
      </c>
      <c r="R23" s="78" t="str">
        <f t="shared" si="10"/>
        <v/>
      </c>
      <c r="S23" s="78" t="str">
        <f t="shared" si="11"/>
        <v/>
      </c>
      <c r="T23" s="78" t="str">
        <f t="shared" si="12"/>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milscm_2023_010.azn_202310_backup_text_mml_mmlre_ps_medication.start_date IS '服薬開始日';</v>
      </c>
    </row>
    <row r="24" spans="1:45" s="25" customFormat="1">
      <c r="A24" s="4"/>
      <c r="B24" s="21">
        <f t="shared" si="2"/>
        <v>12</v>
      </c>
      <c r="C24" s="6" t="s">
        <v>2876</v>
      </c>
      <c r="D24" s="6" t="s">
        <v>2877</v>
      </c>
      <c r="E24" s="8"/>
      <c r="F24" s="7" t="s">
        <v>1866</v>
      </c>
      <c r="G24" s="7" t="str">
        <f t="shared" si="7"/>
        <v>text</v>
      </c>
      <c r="H24" s="26"/>
      <c r="I24" s="10"/>
      <c r="J24" s="11"/>
      <c r="M24" s="4"/>
      <c r="N24" s="78"/>
      <c r="O24" s="78"/>
      <c r="P24" s="78" t="str">
        <f t="shared" si="8"/>
        <v>,duration</v>
      </c>
      <c r="Q24" s="78" t="str">
        <f t="shared" si="9"/>
        <v>TEXT</v>
      </c>
      <c r="R24" s="78" t="str">
        <f t="shared" si="10"/>
        <v/>
      </c>
      <c r="S24" s="78" t="str">
        <f t="shared" si="11"/>
        <v/>
      </c>
      <c r="T24" s="78" t="str">
        <f t="shared" si="12"/>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milscm_2023_010.azn_202310_backup_text_mml_mmlre_ps_medication.duration IS '服薬期間（日数）';</v>
      </c>
    </row>
    <row r="25" spans="1:45" s="25" customFormat="1">
      <c r="A25" s="4"/>
      <c r="B25" s="21">
        <f t="shared" si="2"/>
        <v>13</v>
      </c>
      <c r="C25" s="6" t="s">
        <v>2878</v>
      </c>
      <c r="D25" s="6" t="s">
        <v>2879</v>
      </c>
      <c r="E25" s="8"/>
      <c r="F25" s="7" t="s">
        <v>1866</v>
      </c>
      <c r="G25" s="7" t="str">
        <f t="shared" si="7"/>
        <v>text</v>
      </c>
      <c r="H25" s="26"/>
      <c r="I25" s="10"/>
      <c r="J25" s="11"/>
      <c r="M25" s="4"/>
      <c r="N25" s="78"/>
      <c r="O25" s="78"/>
      <c r="P25" s="78" t="str">
        <f t="shared" si="8"/>
        <v>,instruction</v>
      </c>
      <c r="Q25" s="78" t="str">
        <f t="shared" si="9"/>
        <v>TEXT</v>
      </c>
      <c r="R25" s="78" t="str">
        <f t="shared" si="10"/>
        <v/>
      </c>
      <c r="S25" s="78" t="str">
        <f t="shared" si="11"/>
        <v/>
      </c>
      <c r="T25" s="78" t="str">
        <f t="shared" si="12"/>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milscm_2023_010.azn_202310_backup_text_mml_mmlre_ps_medication.instruction IS '用法指示';</v>
      </c>
    </row>
    <row r="26" spans="1:45" s="25" customFormat="1">
      <c r="A26" s="4"/>
      <c r="B26" s="21">
        <f t="shared" si="2"/>
        <v>14</v>
      </c>
      <c r="C26" s="6" t="s">
        <v>2880</v>
      </c>
      <c r="D26" s="6" t="s">
        <v>2881</v>
      </c>
      <c r="E26" s="8"/>
      <c r="F26" s="7" t="s">
        <v>1866</v>
      </c>
      <c r="G26" s="7" t="str">
        <f t="shared" si="7"/>
        <v>text</v>
      </c>
      <c r="H26" s="26"/>
      <c r="I26" s="10"/>
      <c r="J26" s="11" t="s">
        <v>2897</v>
      </c>
      <c r="M26" s="4"/>
      <c r="N26" s="78"/>
      <c r="O26" s="78"/>
      <c r="P26" s="78" t="str">
        <f t="shared" si="8"/>
        <v>,prn</v>
      </c>
      <c r="Q26" s="78" t="str">
        <f t="shared" si="9"/>
        <v>TEXT</v>
      </c>
      <c r="R26" s="78" t="str">
        <f t="shared" si="10"/>
        <v/>
      </c>
      <c r="S26" s="78" t="str">
        <f t="shared" si="11"/>
        <v/>
      </c>
      <c r="T26" s="78" t="str">
        <f t="shared" si="12"/>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milscm_2023_010.azn_202310_backup_text_mml_mmlre_ps_medication.prn IS '頓用指示';</v>
      </c>
    </row>
    <row r="27" spans="1:45" s="25" customFormat="1">
      <c r="A27" s="4"/>
      <c r="B27" s="21">
        <f t="shared" si="2"/>
        <v>15</v>
      </c>
      <c r="C27" s="6" t="s">
        <v>2882</v>
      </c>
      <c r="D27" s="6" t="s">
        <v>2883</v>
      </c>
      <c r="E27" s="8"/>
      <c r="F27" s="7" t="s">
        <v>1866</v>
      </c>
      <c r="G27" s="7" t="str">
        <f t="shared" si="7"/>
        <v>text</v>
      </c>
      <c r="H27" s="26"/>
      <c r="I27" s="10"/>
      <c r="J27" s="11"/>
      <c r="M27" s="4"/>
      <c r="N27" s="78"/>
      <c r="O27" s="78"/>
      <c r="P27" s="78" t="str">
        <f t="shared" si="8"/>
        <v>,repetitions</v>
      </c>
      <c r="Q27" s="78" t="str">
        <f t="shared" si="9"/>
        <v>TEXT</v>
      </c>
      <c r="R27" s="78" t="str">
        <f t="shared" si="10"/>
        <v/>
      </c>
      <c r="S27" s="78" t="str">
        <f t="shared" si="11"/>
        <v/>
      </c>
      <c r="T27" s="78" t="str">
        <f t="shared" si="12"/>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milscm_2023_010.azn_202310_backup_text_mml_mmlre_ps_medication.repetitions IS '総投与回数';</v>
      </c>
    </row>
    <row r="28" spans="1:45" s="25" customFormat="1">
      <c r="A28" s="4"/>
      <c r="B28" s="21">
        <f t="shared" si="2"/>
        <v>16</v>
      </c>
      <c r="C28" s="6" t="s">
        <v>2884</v>
      </c>
      <c r="D28" s="6" t="s">
        <v>2885</v>
      </c>
      <c r="E28" s="8"/>
      <c r="F28" s="7" t="s">
        <v>1866</v>
      </c>
      <c r="G28" s="7" t="str">
        <f t="shared" si="7"/>
        <v>text</v>
      </c>
      <c r="H28" s="26"/>
      <c r="I28" s="10"/>
      <c r="J28" s="11"/>
      <c r="M28" s="4"/>
      <c r="N28" s="78"/>
      <c r="O28" s="78"/>
      <c r="P28" s="78" t="str">
        <f t="shared" si="8"/>
        <v>,route</v>
      </c>
      <c r="Q28" s="78" t="str">
        <f t="shared" si="9"/>
        <v>TEXT</v>
      </c>
      <c r="R28" s="78" t="str">
        <f t="shared" si="10"/>
        <v/>
      </c>
      <c r="S28" s="78" t="str">
        <f t="shared" si="11"/>
        <v/>
      </c>
      <c r="T28" s="78" t="str">
        <f t="shared" si="12"/>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milscm_2023_010.azn_202310_backup_text_mml_mmlre_ps_medication.route IS '投与経路';</v>
      </c>
    </row>
    <row r="29" spans="1:45" s="25" customFormat="1">
      <c r="A29" s="4"/>
      <c r="B29" s="21">
        <f t="shared" si="2"/>
        <v>17</v>
      </c>
      <c r="C29" s="6" t="s">
        <v>2886</v>
      </c>
      <c r="D29" s="6" t="s">
        <v>2887</v>
      </c>
      <c r="E29" s="8"/>
      <c r="F29" s="7" t="s">
        <v>1866</v>
      </c>
      <c r="G29" s="7" t="str">
        <f t="shared" si="7"/>
        <v>text</v>
      </c>
      <c r="H29" s="26"/>
      <c r="I29" s="10"/>
      <c r="J29" s="11"/>
      <c r="M29" s="4"/>
      <c r="N29" s="78"/>
      <c r="O29" s="78"/>
      <c r="P29" s="78" t="str">
        <f t="shared" si="8"/>
        <v>,form</v>
      </c>
      <c r="Q29" s="78" t="str">
        <f t="shared" si="9"/>
        <v>TEXT</v>
      </c>
      <c r="R29" s="78" t="str">
        <f t="shared" si="10"/>
        <v/>
      </c>
      <c r="S29" s="78" t="str">
        <f t="shared" si="11"/>
        <v/>
      </c>
      <c r="T29" s="78" t="str">
        <f t="shared" si="12"/>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milscm_2023_010.azn_202310_backup_text_mml_mmlre_ps_medication.form IS '剤形';</v>
      </c>
    </row>
    <row r="30" spans="1:45" s="25" customFormat="1">
      <c r="A30" s="4"/>
      <c r="B30" s="21">
        <f t="shared" si="2"/>
        <v>18</v>
      </c>
      <c r="C30" s="6" t="s">
        <v>2888</v>
      </c>
      <c r="D30" s="6" t="s">
        <v>2889</v>
      </c>
      <c r="E30" s="8"/>
      <c r="F30" s="7" t="s">
        <v>1866</v>
      </c>
      <c r="G30" s="7" t="str">
        <f t="shared" si="7"/>
        <v>text</v>
      </c>
      <c r="H30" s="26"/>
      <c r="I30" s="10"/>
      <c r="J30" s="11"/>
      <c r="M30" s="4"/>
      <c r="N30" s="78"/>
      <c r="O30" s="78"/>
      <c r="P30" s="78" t="str">
        <f t="shared" si="8"/>
        <v>,batch_no</v>
      </c>
      <c r="Q30" s="78" t="str">
        <f t="shared" si="9"/>
        <v>TEXT</v>
      </c>
      <c r="R30" s="78" t="str">
        <f t="shared" si="10"/>
        <v/>
      </c>
      <c r="S30" s="78" t="str">
        <f t="shared" si="11"/>
        <v/>
      </c>
      <c r="T30" s="78" t="str">
        <f t="shared" si="12"/>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milscm_2023_010.azn_202310_backup_text_mml_mmlre_ps_medication.batch_no IS '処方番号';</v>
      </c>
    </row>
    <row r="31" spans="1:45" s="25" customFormat="1" ht="37.5">
      <c r="A31" s="4"/>
      <c r="B31" s="21">
        <f t="shared" si="2"/>
        <v>19</v>
      </c>
      <c r="C31" s="6" t="s">
        <v>2890</v>
      </c>
      <c r="D31" s="6" t="s">
        <v>2891</v>
      </c>
      <c r="E31" s="8"/>
      <c r="F31" s="7" t="s">
        <v>1866</v>
      </c>
      <c r="G31" s="7" t="str">
        <f t="shared" si="7"/>
        <v>text</v>
      </c>
      <c r="H31" s="26"/>
      <c r="I31" s="10"/>
      <c r="J31" s="11" t="s">
        <v>2898</v>
      </c>
      <c r="M31" s="4"/>
      <c r="N31" s="78"/>
      <c r="O31" s="78"/>
      <c r="P31" s="78" t="str">
        <f t="shared" si="8"/>
        <v>,brand_substitution_permitted</v>
      </c>
      <c r="Q31" s="78" t="str">
        <f t="shared" si="9"/>
        <v>TEXT</v>
      </c>
      <c r="R31" s="78" t="str">
        <f t="shared" si="10"/>
        <v/>
      </c>
      <c r="S31" s="78" t="str">
        <f t="shared" si="11"/>
        <v/>
      </c>
      <c r="T31" s="78" t="str">
        <f t="shared" si="12"/>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milscm_2023_010.azn_202310_backup_text_mml_mmlre_ps_medication.brand_substitution_permitted IS 'ジェネリック医薬品への代替可';</v>
      </c>
    </row>
    <row r="32" spans="1:45" s="25" customFormat="1">
      <c r="A32" s="4"/>
      <c r="B32" s="21">
        <f t="shared" si="2"/>
        <v>20</v>
      </c>
      <c r="C32" s="6" t="s">
        <v>2892</v>
      </c>
      <c r="D32" s="6" t="s">
        <v>2893</v>
      </c>
      <c r="E32" s="8"/>
      <c r="F32" s="7" t="s">
        <v>1866</v>
      </c>
      <c r="G32" s="7" t="str">
        <f t="shared" si="3"/>
        <v>text</v>
      </c>
      <c r="H32" s="26"/>
      <c r="I32" s="10"/>
      <c r="J32" s="11" t="s">
        <v>2899</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milscm_2023_010.azn_202310_backup_text_mml_mmlre_ps_medication.long_term IS '長期処方可';</v>
      </c>
    </row>
    <row r="33" spans="1:52" s="25" customFormat="1" ht="35.450000000000003" customHeight="1"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milscm_2023_010.azn_202310_backup_text_mml_mmlre_ps_medication.additional_instruction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100-000000000000}"/>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ENT_01_A6-61</v>
      </c>
      <c r="E6" s="239"/>
      <c r="F6" s="239"/>
      <c r="G6" s="239"/>
      <c r="H6" s="239"/>
      <c r="I6" s="239"/>
      <c r="J6" s="240"/>
    </row>
    <row r="7" spans="1:45">
      <c r="B7" s="228" t="s">
        <v>115</v>
      </c>
      <c r="C7" s="229"/>
      <c r="D7" s="230" t="s">
        <v>3118</v>
      </c>
      <c r="E7" s="231"/>
      <c r="F7" s="231"/>
      <c r="G7" s="231"/>
      <c r="H7" s="231"/>
      <c r="I7" s="231"/>
      <c r="J7" s="232"/>
    </row>
    <row r="8" spans="1:45">
      <c r="B8" s="228" t="s">
        <v>116</v>
      </c>
      <c r="C8" s="229"/>
      <c r="D8" s="230" t="str">
        <f>エンティティ一覧!AE2&amp;"_"&amp;D5&amp;"_text_mml_mmlre_ps_medicine"</f>
        <v>azn_202310_backup_text_mml_mmlre_ps_medicine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milscm_2023_010.azn_202310_backup_text_mml_mmlre_ps_medicine;</v>
      </c>
      <c r="O10" s="78"/>
      <c r="P10" s="78"/>
      <c r="Q10" s="78"/>
      <c r="R10" s="78"/>
      <c r="S10" s="78"/>
      <c r="T10" s="78"/>
      <c r="AJ10" s="78" t="str">
        <f>"ALTER TABLE ONLY "&amp;エンティティ一覧!$O$2&amp;"."&amp;D$8</f>
        <v>ALTER TABLE ONLY milscm_2023_010.azn_202310_backup_text_mml_mmlre_ps_medicine</v>
      </c>
      <c r="AS10" s="78" t="str">
        <f>"ALTER TABLE "&amp;エンティティ一覧!$O$2&amp;"."&amp;D$8&amp;" OWNER TO pgmisgrp1;"</f>
        <v>ALTER TABLE milscm_2023_010.azn_202310_backup_text_mml_mmlre_ps_medicine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milscm_2023_010.azn_202310_backup_text_mml_mmlre_ps_medicine</v>
      </c>
      <c r="O11" s="78"/>
      <c r="P11" s="78"/>
      <c r="Q11" s="78"/>
      <c r="R11" s="78"/>
      <c r="S11" s="78"/>
      <c r="T11" s="78"/>
      <c r="AJ11" s="78" t="str">
        <f>"ADD CONSTRAINT "&amp;D$8&amp;"_pkey PRIMARY KEY"</f>
        <v>ADD CONSTRAINT azn_202310_backup_text_mml_mmlre_ps_medicine_pkey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milscm_2023_010.azn_202310_backup_text_mml_mmlre_ps_medicine IS 'バックアップ_MML_紹介状モジュール_処方箋薬剤';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milscm_2023_010.azn_202310_backup_text_mml_mmlre_ps_medicine.medication_no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milscm_2023_010.azn_202310_backup_text_mml_mmlre_ps_medicine.medicine_no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milscm_2023_010.azn_202310_backup_text_mml_mmlre_ps_medicine.code IS '薬剤コード';</v>
      </c>
    </row>
    <row r="21" spans="1:52" s="25" customFormat="1" ht="35.450000000000003" customHeight="1"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200-000000000000}"/>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ENT_01_A6-62</v>
      </c>
      <c r="E6" s="239"/>
      <c r="F6" s="239"/>
      <c r="G6" s="239"/>
      <c r="H6" s="239"/>
      <c r="I6" s="239"/>
      <c r="J6" s="240"/>
    </row>
    <row r="7" spans="1:45">
      <c r="B7" s="228" t="s">
        <v>115</v>
      </c>
      <c r="C7" s="229"/>
      <c r="D7" s="230" t="s">
        <v>3119</v>
      </c>
      <c r="E7" s="231"/>
      <c r="F7" s="231"/>
      <c r="G7" s="231"/>
      <c r="H7" s="231"/>
      <c r="I7" s="231"/>
      <c r="J7" s="232"/>
    </row>
    <row r="8" spans="1:45">
      <c r="B8" s="228" t="s">
        <v>116</v>
      </c>
      <c r="C8" s="229"/>
      <c r="D8" s="230" t="str">
        <f>エンティティ一覧!AE2&amp;"_"&amp;D5&amp;"_text_mml_mmlre_sm_clinical_record"</f>
        <v>azn_202310_backup_text_mml_mmlre_sm_clinical_record</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milscm_2023_010.azn_202310_backup_text_mml_mmlre_sm_clinical_record;</v>
      </c>
      <c r="O10" s="78"/>
      <c r="P10" s="78"/>
      <c r="Q10" s="78"/>
      <c r="R10" s="78"/>
      <c r="S10" s="78"/>
      <c r="T10" s="78"/>
      <c r="AJ10" s="78" t="str">
        <f>"ALTER TABLE ONLY "&amp;エンティティ一覧!$O$2&amp;"."&amp;D$8</f>
        <v>ALTER TABLE ONLY milscm_2023_010.azn_202310_backup_text_mml_mmlre_sm_clinical_record</v>
      </c>
      <c r="AS10" s="78" t="str">
        <f>"ALTER TABLE "&amp;エンティティ一覧!$O$2&amp;"."&amp;D$8&amp;" OWNER TO pgmisgrp1;"</f>
        <v>ALTER TABLE milscm_2023_010.azn_202310_backup_text_mml_mmlre_sm_clinical_record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milscm_2023_010.azn_202310_backup_text_mml_mmlre_sm_clinical_record</v>
      </c>
      <c r="O11" s="78"/>
      <c r="P11" s="78"/>
      <c r="Q11" s="78"/>
      <c r="R11" s="78"/>
      <c r="S11" s="78"/>
      <c r="T11" s="78"/>
      <c r="AJ11" s="78" t="str">
        <f>"ADD CONSTRAINT "&amp;D$8&amp;"_pkey PRIMARY KEY"</f>
        <v>ADD CONSTRAINT azn_202310_backup_text_mml_mmlre_sm_clinical_record_pkey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milscm_2023_010.azn_202310_backup_text_mml_mmlre_sm_clinical_record IS 'バックアップ_MML_紹介状モジュール_臨床サマリー情報経過記録';</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milscm_2023_010.azn_202310_backup_text_mml_mmlre_sm_clinical_record.zip_no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milscm_2023_010.azn_202310_backup_text_mml_mmlre_sm_clinical_record.file_no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milscm_2023_010.azn_202310_backup_text_mml_mmlre_sm_clinical_record.body_no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milscm_2023_010.azn_202310_backup_text_mml_mmlre_sm_clinical_record.facility_id_mml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milscm_2023_010.azn_202310_backup_text_mml_mmlre_sm_clinical_record.master_id IS '患者ID';</v>
      </c>
    </row>
    <row r="18" spans="1:52" s="25" customFormat="1">
      <c r="A18" s="4"/>
      <c r="B18" s="21">
        <f t="shared" si="2"/>
        <v>6</v>
      </c>
      <c r="C18" s="6" t="s">
        <v>3120</v>
      </c>
      <c r="D18" s="6" t="s">
        <v>3121</v>
      </c>
      <c r="E18" s="8" t="s">
        <v>127</v>
      </c>
      <c r="F18" s="7" t="s">
        <v>2827</v>
      </c>
      <c r="G18" s="7" t="str">
        <f t="shared" si="3"/>
        <v>integer</v>
      </c>
      <c r="H18" s="26"/>
      <c r="I18" s="10" t="s">
        <v>127</v>
      </c>
      <c r="J18" s="11"/>
      <c r="M18" s="4"/>
      <c r="N18" s="78"/>
      <c r="O18" s="78"/>
      <c r="P18" s="78" t="str">
        <f t="shared" si="4"/>
        <v>,clinical_record_no</v>
      </c>
      <c r="Q18" s="78" t="str">
        <f t="shared" si="0"/>
        <v>INTEGER</v>
      </c>
      <c r="R18" s="78" t="str">
        <f t="shared" si="1"/>
        <v/>
      </c>
      <c r="S18" s="78" t="str">
        <f t="shared" si="5"/>
        <v>NOT NULL</v>
      </c>
      <c r="T18" s="78" t="str">
        <f t="shared" si="6"/>
        <v>-- 経過記録No</v>
      </c>
      <c r="U18" s="4"/>
      <c r="AA18" s="4"/>
      <c r="AB18" s="4"/>
      <c r="AC18" s="4"/>
      <c r="AD18" s="4"/>
      <c r="AE18" s="4"/>
      <c r="AF18" s="4"/>
      <c r="AG18" s="4"/>
      <c r="AH18" s="4"/>
      <c r="AI18" s="4"/>
      <c r="AJ18" s="78" t="str">
        <f>IF(E18="○",IF(COUNTA(E$13:E18)=1,"",",")&amp;D18,"")</f>
        <v>,clinical_record_no</v>
      </c>
      <c r="AK18" s="4"/>
      <c r="AL18" s="4"/>
      <c r="AM18" s="4"/>
      <c r="AN18" s="4"/>
      <c r="AO18" s="4"/>
      <c r="AP18" s="4"/>
      <c r="AQ18" s="4"/>
      <c r="AR18" s="4"/>
      <c r="AS18" s="78" t="str">
        <f>"COMMENT ON COLUMN "&amp;エンティティ一覧!$O$2&amp;"."&amp;D$8&amp;"."&amp;D18&amp;" IS '"&amp;C18&amp;"';"</f>
        <v>COMMENT ON COLUMN milscm_2023_010.azn_202310_backup_text_mml_mmlre_sm_clinical_record.clinical_record_no IS '経過記録No';</v>
      </c>
    </row>
    <row r="19" spans="1:52" s="25" customFormat="1">
      <c r="A19" s="4"/>
      <c r="B19" s="21">
        <f t="shared" si="2"/>
        <v>7</v>
      </c>
      <c r="C19" s="6" t="s">
        <v>1565</v>
      </c>
      <c r="D19" s="6" t="s">
        <v>3122</v>
      </c>
      <c r="E19" s="8"/>
      <c r="F19" s="7" t="s">
        <v>1866</v>
      </c>
      <c r="G19" s="7" t="str">
        <f t="shared" si="3"/>
        <v>text</v>
      </c>
      <c r="H19" s="26"/>
      <c r="I19" s="10"/>
      <c r="J19" s="11"/>
      <c r="M19" s="4"/>
      <c r="N19" s="78"/>
      <c r="O19" s="78"/>
      <c r="P19" s="78" t="str">
        <f t="shared" si="4"/>
        <v>,clinical_record</v>
      </c>
      <c r="Q19" s="78" t="str">
        <f t="shared" si="0"/>
        <v>TEXT</v>
      </c>
      <c r="R19" s="78" t="str">
        <f t="shared" si="1"/>
        <v/>
      </c>
      <c r="S19" s="78" t="str">
        <f t="shared" si="5"/>
        <v/>
      </c>
      <c r="T19" s="78" t="str">
        <f t="shared" si="6"/>
        <v>-- 経過記録</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milscm_2023_010.azn_202310_backup_text_mml_mmlre_sm_clinical_record.clinical_record IS '経過記録';</v>
      </c>
    </row>
    <row r="20" spans="1:52" s="25" customFormat="1">
      <c r="A20" s="4"/>
      <c r="B20" s="21">
        <f t="shared" si="2"/>
        <v>8</v>
      </c>
      <c r="C20" s="6" t="s">
        <v>1567</v>
      </c>
      <c r="D20" s="6" t="s">
        <v>3123</v>
      </c>
      <c r="E20" s="8"/>
      <c r="F20" s="7" t="s">
        <v>1866</v>
      </c>
      <c r="G20" s="7" t="str">
        <f t="shared" ref="G20" si="7">IF(F20="フラグ","boolean",IF(F20="文字列","text",IF(F20="整数","integer",IF(F20="実数","numeric",""))))</f>
        <v>text</v>
      </c>
      <c r="H20" s="26"/>
      <c r="I20" s="10"/>
      <c r="J20" s="11" t="s">
        <v>2839</v>
      </c>
      <c r="M20" s="4"/>
      <c r="N20" s="78"/>
      <c r="O20" s="78"/>
      <c r="P20" s="78" t="str">
        <f t="shared" ref="P20" si="8">IF(B20&lt;&gt;1,","&amp;D20,D20)</f>
        <v>,clinical_record_date</v>
      </c>
      <c r="Q20" s="78" t="str">
        <f t="shared" ref="Q20" si="9">UPPER(G20)</f>
        <v>TEXT</v>
      </c>
      <c r="R20" s="78" t="str">
        <f t="shared" ref="R20" si="10">IF(H20&lt;&gt;"","default "&amp;IF(G20="text","'"&amp;H20&amp;"'",H20),"")</f>
        <v/>
      </c>
      <c r="S20" s="78" t="str">
        <f t="shared" ref="S20" si="11">IF(I20="○","NOT NULL","")</f>
        <v/>
      </c>
      <c r="T20" s="78" t="str">
        <f t="shared" ref="T20" si="12">"-- "&amp;C20</f>
        <v>-- イベント発生日時</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milscm_2023_010.azn_202310_backup_text_mml_mmlre_sm_clinical_record.clinical_record_date IS 'イベント発生日時';</v>
      </c>
    </row>
    <row r="21" spans="1:52" s="25" customFormat="1">
      <c r="A21" s="4"/>
      <c r="B21" s="21">
        <f t="shared" si="2"/>
        <v>9</v>
      </c>
      <c r="C21" s="6" t="s">
        <v>3124</v>
      </c>
      <c r="D21" s="6" t="s">
        <v>3125</v>
      </c>
      <c r="E21" s="8"/>
      <c r="F21" s="7" t="s">
        <v>1866</v>
      </c>
      <c r="G21" s="7" t="str">
        <f t="shared" si="3"/>
        <v>text</v>
      </c>
      <c r="H21" s="26"/>
      <c r="I21" s="10"/>
      <c r="J21" s="11"/>
      <c r="M21" s="4"/>
      <c r="N21" s="78"/>
      <c r="O21" s="78"/>
      <c r="P21" s="78" t="str">
        <f t="shared" si="4"/>
        <v>,related_doc</v>
      </c>
      <c r="Q21" s="78" t="str">
        <f t="shared" si="0"/>
        <v>TEXT</v>
      </c>
      <c r="R21" s="78" t="str">
        <f t="shared" si="1"/>
        <v/>
      </c>
      <c r="S21" s="78" t="str">
        <f t="shared" si="5"/>
        <v/>
      </c>
      <c r="T21" s="78" t="str">
        <f t="shared" si="6"/>
        <v>-- 関連文書</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milscm_2023_010.azn_202310_backup_text_mml_mmlre_sm_clinical_record.related_doc IS '関連文書';</v>
      </c>
    </row>
    <row r="22" spans="1:52" s="25" customFormat="1" ht="19.5" thickBot="1">
      <c r="A22" s="4"/>
      <c r="B22" s="27">
        <f>ROW()-12</f>
        <v>10</v>
      </c>
      <c r="C22" s="57" t="s">
        <v>3126</v>
      </c>
      <c r="D22" s="57" t="s">
        <v>3127</v>
      </c>
      <c r="E22" s="56"/>
      <c r="F22" s="56" t="s">
        <v>1866</v>
      </c>
      <c r="G22" s="56" t="str">
        <f t="shared" si="3"/>
        <v>text</v>
      </c>
      <c r="H22" s="59"/>
      <c r="I22" s="60"/>
      <c r="J22" s="64"/>
      <c r="N22" s="78"/>
      <c r="O22" s="78"/>
      <c r="P22" s="78" t="str">
        <f t="shared" si="4"/>
        <v>,related_doc_relation</v>
      </c>
      <c r="Q22" s="78" t="str">
        <f t="shared" si="0"/>
        <v>TEXT</v>
      </c>
      <c r="R22" s="78" t="str">
        <f t="shared" si="1"/>
        <v/>
      </c>
      <c r="S22" s="78" t="str">
        <f t="shared" si="5"/>
        <v/>
      </c>
      <c r="T22" s="78" t="str">
        <f t="shared" si="6"/>
        <v>-- 関連文書_関連の種別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milscm_2023_010.azn_202310_backup_text_mml_mmlre_sm_clinical_record.related_doc_relation IS '関連文書_関連の種別';</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300-000000000000}"/>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AZ3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ENT_01_A6-63</v>
      </c>
      <c r="E6" s="239"/>
      <c r="F6" s="239"/>
      <c r="G6" s="239"/>
      <c r="H6" s="239"/>
      <c r="I6" s="239"/>
      <c r="J6" s="240"/>
    </row>
    <row r="7" spans="1:45">
      <c r="B7" s="228" t="s">
        <v>115</v>
      </c>
      <c r="C7" s="229"/>
      <c r="D7" s="230" t="s">
        <v>3130</v>
      </c>
      <c r="E7" s="231"/>
      <c r="F7" s="231"/>
      <c r="G7" s="231"/>
      <c r="H7" s="231"/>
      <c r="I7" s="231"/>
      <c r="J7" s="232"/>
    </row>
    <row r="8" spans="1:45">
      <c r="B8" s="228" t="s">
        <v>116</v>
      </c>
      <c r="C8" s="229"/>
      <c r="D8" s="230" t="str">
        <f>エンティティ一覧!AE2&amp;"_"&amp;D5&amp;"_text_mml_mmlre_dp"</f>
        <v>azn_202310_backup_text_mml_mmlre_dp</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milscm_2023_010.azn_202310_backup_text_mml_mmlre_dp;</v>
      </c>
      <c r="O10" s="78"/>
      <c r="P10" s="78"/>
      <c r="Q10" s="78"/>
      <c r="R10" s="78"/>
      <c r="S10" s="78"/>
      <c r="T10" s="78"/>
      <c r="AJ10" s="78" t="str">
        <f>"ALTER TABLE ONLY "&amp;エンティティ一覧!$O$2&amp;"."&amp;D$8</f>
        <v>ALTER TABLE ONLY milscm_2023_010.azn_202310_backup_text_mml_mmlre_dp</v>
      </c>
      <c r="AS10" s="78" t="str">
        <f>"ALTER TABLE "&amp;エンティティ一覧!$O$2&amp;"."&amp;D$8&amp;" OWNER TO pgmisgrp1;"</f>
        <v>ALTER TABLE milscm_2023_010.azn_202310_backup_text_mml_mmlre_dp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milscm_2023_010.azn_202310_backup_text_mml_mmlre_dp</v>
      </c>
      <c r="O11" s="78"/>
      <c r="P11" s="78"/>
      <c r="Q11" s="78"/>
      <c r="R11" s="78"/>
      <c r="S11" s="78"/>
      <c r="T11" s="78"/>
      <c r="AJ11" s="78" t="str">
        <f>"ADD CONSTRAINT "&amp;D$8&amp;"_pkey PRIMARY KEY"</f>
        <v>ADD CONSTRAINT azn_202310_backup_text_mml_mmlre_dp_pkey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milscm_2023_010.azn_202310_backup_text_mml_mmlre_dp IS 'バックアップ_MML_紹介状モジュール_診療科情報';</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7" si="0">UPPER(G13)</f>
        <v>INTEGER</v>
      </c>
      <c r="R13" s="78" t="str">
        <f t="shared" ref="R13:R27"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milscm_2023_010.azn_202310_backup_text_mml_mmlre_dp.zip_no IS 'ZipファイルNo';</v>
      </c>
    </row>
    <row r="14" spans="1:45" s="25" customFormat="1">
      <c r="A14" s="4"/>
      <c r="B14" s="21">
        <f t="shared" ref="B14:B26" si="2">ROW()-12</f>
        <v>2</v>
      </c>
      <c r="C14" s="6" t="s">
        <v>2828</v>
      </c>
      <c r="D14" s="6" t="s">
        <v>2829</v>
      </c>
      <c r="E14" s="8" t="s">
        <v>127</v>
      </c>
      <c r="F14" s="7" t="s">
        <v>2827</v>
      </c>
      <c r="G14" s="7" t="str">
        <f t="shared" ref="G14:G27" si="3">IF(F14="フラグ","boolean",IF(F14="文字列","text",IF(F14="整数","integer",IF(F14="実数","numeric",""))))</f>
        <v>integer</v>
      </c>
      <c r="H14" s="26"/>
      <c r="I14" s="10" t="s">
        <v>127</v>
      </c>
      <c r="J14" s="11"/>
      <c r="M14" s="4"/>
      <c r="N14" s="78"/>
      <c r="O14" s="78"/>
      <c r="P14" s="78" t="str">
        <f t="shared" ref="P14:P27" si="4">IF(B14&lt;&gt;1,","&amp;D14,D14)</f>
        <v>,file_no</v>
      </c>
      <c r="Q14" s="78" t="str">
        <f t="shared" si="0"/>
        <v>INTEGER</v>
      </c>
      <c r="R14" s="78" t="str">
        <f t="shared" si="1"/>
        <v/>
      </c>
      <c r="S14" s="78" t="str">
        <f t="shared" ref="S14:S27" si="5">IF(I14="○","NOT NULL","")</f>
        <v>NOT NULL</v>
      </c>
      <c r="T14" s="78" t="str">
        <f t="shared" ref="T14:T27"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milscm_2023_010.azn_202310_backup_text_mml_mmlre_dp.file_no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milscm_2023_010.azn_202310_backup_text_mml_mmlre_dp.body_no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milscm_2023_010.azn_202310_backup_text_mml_mmlre_dp.facility_id_mml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milscm_2023_010.azn_202310_backup_text_mml_mmlre_dp.master_id IS '患者ID';</v>
      </c>
    </row>
    <row r="18" spans="1:52" s="25" customFormat="1">
      <c r="A18" s="4"/>
      <c r="B18" s="21">
        <f t="shared" si="2"/>
        <v>6</v>
      </c>
      <c r="C18" s="6" t="s">
        <v>2938</v>
      </c>
      <c r="D18" s="6" t="s">
        <v>2939</v>
      </c>
      <c r="E18" s="8" t="s">
        <v>127</v>
      </c>
      <c r="F18" s="7" t="s">
        <v>2827</v>
      </c>
      <c r="G18" s="7" t="str">
        <f t="shared" si="3"/>
        <v>integer</v>
      </c>
      <c r="H18" s="26"/>
      <c r="I18" s="10" t="s">
        <v>127</v>
      </c>
      <c r="J18" s="11" t="s">
        <v>2958</v>
      </c>
      <c r="M18" s="4"/>
      <c r="N18" s="78"/>
      <c r="O18" s="78"/>
      <c r="P18" s="78" t="str">
        <f t="shared" si="4"/>
        <v>,dp_no</v>
      </c>
      <c r="Q18" s="78" t="str">
        <f t="shared" si="0"/>
        <v>INTEGER</v>
      </c>
      <c r="R18" s="78" t="str">
        <f t="shared" si="1"/>
        <v/>
      </c>
      <c r="S18" s="78" t="str">
        <f t="shared" si="5"/>
        <v>NOT NULL</v>
      </c>
      <c r="T18" s="78" t="str">
        <f t="shared" si="6"/>
        <v>-- 診療科情報No</v>
      </c>
      <c r="U18" s="4"/>
      <c r="AA18" s="4"/>
      <c r="AB18" s="4"/>
      <c r="AC18" s="4"/>
      <c r="AD18" s="4"/>
      <c r="AE18" s="4"/>
      <c r="AF18" s="4"/>
      <c r="AG18" s="4"/>
      <c r="AH18" s="4"/>
      <c r="AI18" s="4"/>
      <c r="AJ18" s="78" t="str">
        <f>IF(E18="○",IF(COUNTA(E$13:E18)=1,"",",")&amp;D18,"")</f>
        <v>,dp_no</v>
      </c>
      <c r="AK18" s="4"/>
      <c r="AL18" s="4"/>
      <c r="AM18" s="4"/>
      <c r="AN18" s="4"/>
      <c r="AO18" s="4"/>
      <c r="AP18" s="4"/>
      <c r="AQ18" s="4"/>
      <c r="AR18" s="4"/>
      <c r="AS18" s="78" t="str">
        <f>"COMMENT ON COLUMN "&amp;エンティティ一覧!$O$2&amp;"."&amp;D$8&amp;"."&amp;D18&amp;" IS '"&amp;C18&amp;"';"</f>
        <v>COMMENT ON COLUMN milscm_2023_010.azn_202310_backup_text_mml_mmlre_dp.dp_no IS '診療科情報No';</v>
      </c>
    </row>
    <row r="19" spans="1:52" s="25" customFormat="1">
      <c r="A19" s="4"/>
      <c r="B19" s="21">
        <f t="shared" si="2"/>
        <v>7</v>
      </c>
      <c r="C19" s="6" t="s">
        <v>2940</v>
      </c>
      <c r="D19" s="6" t="s">
        <v>2941</v>
      </c>
      <c r="E19" s="8" t="s">
        <v>127</v>
      </c>
      <c r="F19" s="7" t="s">
        <v>2827</v>
      </c>
      <c r="G19" s="7" t="str">
        <f t="shared" ref="G19:G26" si="7">IF(F19="フラグ","boolean",IF(F19="文字列","text",IF(F19="整数","integer",IF(F19="実数","numeric",""))))</f>
        <v>integer</v>
      </c>
      <c r="H19" s="26"/>
      <c r="I19" s="10" t="s">
        <v>127</v>
      </c>
      <c r="J19" s="11" t="s">
        <v>2959</v>
      </c>
      <c r="M19" s="4"/>
      <c r="N19" s="78"/>
      <c r="O19" s="78"/>
      <c r="P19" s="78" t="str">
        <f t="shared" ref="P19:P26" si="8">IF(B19&lt;&gt;1,","&amp;D19,D19)</f>
        <v>,dp_name_no</v>
      </c>
      <c r="Q19" s="78" t="str">
        <f t="shared" ref="Q19:Q26" si="9">UPPER(G19)</f>
        <v>INTEGER</v>
      </c>
      <c r="R19" s="78" t="str">
        <f t="shared" ref="R19:R26" si="10">IF(H19&lt;&gt;"","default "&amp;IF(G19="text","'"&amp;H19&amp;"'",H19),"")</f>
        <v/>
      </c>
      <c r="S19" s="78" t="str">
        <f t="shared" ref="S19:S26" si="11">IF(I19="○","NOT NULL","")</f>
        <v>NOT NULL</v>
      </c>
      <c r="T19" s="78" t="str">
        <f t="shared" ref="T19:T26" si="12">"-- "&amp;C19</f>
        <v>-- 診療科名称No</v>
      </c>
      <c r="U19" s="4"/>
      <c r="AA19" s="4"/>
      <c r="AB19" s="4"/>
      <c r="AC19" s="4"/>
      <c r="AD19" s="4"/>
      <c r="AE19" s="4"/>
      <c r="AF19" s="4"/>
      <c r="AG19" s="4"/>
      <c r="AH19" s="4"/>
      <c r="AI19" s="4"/>
      <c r="AJ19" s="78" t="str">
        <f>IF(E19="○",IF(COUNTA(E$13:E19)=1,"",",")&amp;D19,"")</f>
        <v>,dp_name_no</v>
      </c>
      <c r="AK19" s="4"/>
      <c r="AL19" s="4"/>
      <c r="AM19" s="4"/>
      <c r="AN19" s="4"/>
      <c r="AO19" s="4"/>
      <c r="AP19" s="4"/>
      <c r="AQ19" s="4"/>
      <c r="AR19" s="4"/>
      <c r="AS19" s="78" t="str">
        <f>"COMMENT ON COLUMN "&amp;エンティティ一覧!$O$2&amp;"."&amp;D$8&amp;"."&amp;D19&amp;" IS '"&amp;C19&amp;"';"</f>
        <v>COMMENT ON COLUMN milscm_2023_010.azn_202310_backup_text_mml_mmlre_dp.dp_name_no IS '診療科名称No';</v>
      </c>
    </row>
    <row r="20" spans="1:52" s="25" customFormat="1">
      <c r="A20" s="4"/>
      <c r="B20" s="21">
        <f t="shared" si="2"/>
        <v>8</v>
      </c>
      <c r="C20" s="6" t="s">
        <v>2942</v>
      </c>
      <c r="D20" s="6" t="s">
        <v>2943</v>
      </c>
      <c r="E20" s="8"/>
      <c r="F20" s="7" t="s">
        <v>1866</v>
      </c>
      <c r="G20" s="7" t="str">
        <f t="shared" si="7"/>
        <v>text</v>
      </c>
      <c r="H20" s="26"/>
      <c r="I20" s="10"/>
      <c r="J20" s="11"/>
      <c r="M20" s="4"/>
      <c r="N20" s="78"/>
      <c r="O20" s="78"/>
      <c r="P20" s="78" t="str">
        <f t="shared" si="8"/>
        <v>,id</v>
      </c>
      <c r="Q20" s="78" t="str">
        <f t="shared" si="9"/>
        <v>TEXT</v>
      </c>
      <c r="R20" s="78" t="str">
        <f t="shared" si="10"/>
        <v/>
      </c>
      <c r="S20" s="78" t="str">
        <f t="shared" si="11"/>
        <v/>
      </c>
      <c r="T20" s="78" t="str">
        <f t="shared" si="12"/>
        <v>-- 診療科ID</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milscm_2023_010.azn_202310_backup_text_mml_mmlre_dp.id IS '診療科ID';</v>
      </c>
    </row>
    <row r="21" spans="1:52" s="25" customFormat="1">
      <c r="A21" s="4"/>
      <c r="B21" s="21">
        <f t="shared" si="2"/>
        <v>9</v>
      </c>
      <c r="C21" s="6" t="s">
        <v>2944</v>
      </c>
      <c r="D21" s="6" t="s">
        <v>2945</v>
      </c>
      <c r="E21" s="8"/>
      <c r="F21" s="7" t="s">
        <v>1866</v>
      </c>
      <c r="G21" s="7" t="str">
        <f t="shared" si="7"/>
        <v>text</v>
      </c>
      <c r="H21" s="26"/>
      <c r="I21" s="10"/>
      <c r="J21" s="11"/>
      <c r="M21" s="4"/>
      <c r="N21" s="78"/>
      <c r="O21" s="78"/>
      <c r="P21" s="78" t="str">
        <f t="shared" si="8"/>
        <v>,type</v>
      </c>
      <c r="Q21" s="78" t="str">
        <f t="shared" si="9"/>
        <v>TEXT</v>
      </c>
      <c r="R21" s="78" t="str">
        <f t="shared" si="10"/>
        <v/>
      </c>
      <c r="S21" s="78" t="str">
        <f t="shared" si="11"/>
        <v/>
      </c>
      <c r="T21" s="78" t="str">
        <f t="shared" si="12"/>
        <v>-- 診療科ID_種類コード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milscm_2023_010.azn_202310_backup_text_mml_mmlre_dp.type IS '診療科ID_種類コード';</v>
      </c>
    </row>
    <row r="22" spans="1:52" s="25" customFormat="1">
      <c r="A22" s="4"/>
      <c r="B22" s="21">
        <f t="shared" si="2"/>
        <v>10</v>
      </c>
      <c r="C22" s="6" t="s">
        <v>2946</v>
      </c>
      <c r="D22" s="6" t="s">
        <v>2855</v>
      </c>
      <c r="E22" s="8"/>
      <c r="F22" s="7" t="s">
        <v>1866</v>
      </c>
      <c r="G22" s="7" t="str">
        <f t="shared" si="7"/>
        <v>text</v>
      </c>
      <c r="H22" s="26"/>
      <c r="I22" s="10"/>
      <c r="J22" s="11"/>
      <c r="M22" s="4"/>
      <c r="N22" s="78"/>
      <c r="O22" s="78"/>
      <c r="P22" s="78" t="str">
        <f t="shared" si="8"/>
        <v>,table_id</v>
      </c>
      <c r="Q22" s="78" t="str">
        <f t="shared" si="9"/>
        <v>TEXT</v>
      </c>
      <c r="R22" s="78" t="str">
        <f t="shared" si="10"/>
        <v/>
      </c>
      <c r="S22" s="78" t="str">
        <f t="shared" si="11"/>
        <v/>
      </c>
      <c r="T22" s="78" t="str">
        <f t="shared" si="12"/>
        <v>-- 診療科ID_テーブル名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milscm_2023_010.azn_202310_backup_text_mml_mmlre_dp.table_id IS '診療科ID_テーブル名';</v>
      </c>
    </row>
    <row r="23" spans="1:52" s="25" customFormat="1">
      <c r="A23" s="4"/>
      <c r="B23" s="21">
        <f t="shared" si="2"/>
        <v>11</v>
      </c>
      <c r="C23" s="6" t="s">
        <v>2947</v>
      </c>
      <c r="D23" s="6" t="s">
        <v>2948</v>
      </c>
      <c r="E23" s="8"/>
      <c r="F23" s="7" t="s">
        <v>2827</v>
      </c>
      <c r="G23" s="7" t="str">
        <f t="shared" si="7"/>
        <v>integer</v>
      </c>
      <c r="H23" s="26"/>
      <c r="I23" s="10"/>
      <c r="J23" s="11"/>
      <c r="M23" s="4"/>
      <c r="N23" s="78"/>
      <c r="O23" s="78"/>
      <c r="P23" s="78" t="str">
        <f t="shared" si="8"/>
        <v>,check_digit</v>
      </c>
      <c r="Q23" s="78" t="str">
        <f t="shared" si="9"/>
        <v>INTEGER</v>
      </c>
      <c r="R23" s="78" t="str">
        <f t="shared" si="10"/>
        <v/>
      </c>
      <c r="S23" s="78" t="str">
        <f t="shared" si="11"/>
        <v/>
      </c>
      <c r="T23" s="78" t="str">
        <f t="shared" si="12"/>
        <v>-- 診療科ID_チェックディジット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milscm_2023_010.azn_202310_backup_text_mml_mmlre_dp.check_digit IS '診療科ID_チェックディジット';</v>
      </c>
    </row>
    <row r="24" spans="1:52" s="25" customFormat="1">
      <c r="A24" s="4"/>
      <c r="B24" s="21">
        <f t="shared" si="2"/>
        <v>12</v>
      </c>
      <c r="C24" s="6" t="s">
        <v>2949</v>
      </c>
      <c r="D24" s="6" t="s">
        <v>2950</v>
      </c>
      <c r="E24" s="8"/>
      <c r="F24" s="7" t="s">
        <v>1866</v>
      </c>
      <c r="G24" s="7" t="str">
        <f t="shared" si="7"/>
        <v>text</v>
      </c>
      <c r="H24" s="26"/>
      <c r="I24" s="10"/>
      <c r="J24" s="11"/>
      <c r="M24" s="4"/>
      <c r="N24" s="78"/>
      <c r="O24" s="78"/>
      <c r="P24" s="78" t="str">
        <f t="shared" si="8"/>
        <v>,check_digit_schema</v>
      </c>
      <c r="Q24" s="78" t="str">
        <f t="shared" si="9"/>
        <v>TEXT</v>
      </c>
      <c r="R24" s="78" t="str">
        <f t="shared" si="10"/>
        <v/>
      </c>
      <c r="S24" s="78" t="str">
        <f t="shared" si="11"/>
        <v/>
      </c>
      <c r="T24" s="78" t="str">
        <f t="shared" si="12"/>
        <v>-- 診療科ID_チェックディジット方式</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milscm_2023_010.azn_202310_backup_text_mml_mmlre_dp.check_digit_schema IS '診療科ID_チェックディジット方式';</v>
      </c>
    </row>
    <row r="25" spans="1:52" s="25" customFormat="1">
      <c r="A25" s="4"/>
      <c r="B25" s="21">
        <f t="shared" si="2"/>
        <v>13</v>
      </c>
      <c r="C25" s="6" t="s">
        <v>2951</v>
      </c>
      <c r="D25" s="6" t="s">
        <v>2952</v>
      </c>
      <c r="E25" s="8"/>
      <c r="F25" s="7" t="s">
        <v>1866</v>
      </c>
      <c r="G25" s="7" t="str">
        <f t="shared" si="7"/>
        <v>text</v>
      </c>
      <c r="H25" s="26"/>
      <c r="I25" s="10"/>
      <c r="J25" s="11"/>
      <c r="M25" s="4"/>
      <c r="N25" s="78"/>
      <c r="O25" s="78"/>
      <c r="P25" s="78" t="str">
        <f t="shared" si="8"/>
        <v>,dp_name</v>
      </c>
      <c r="Q25" s="78" t="str">
        <f t="shared" si="9"/>
        <v>TEXT</v>
      </c>
      <c r="R25" s="78" t="str">
        <f t="shared" si="10"/>
        <v/>
      </c>
      <c r="S25" s="78" t="str">
        <f t="shared" si="11"/>
        <v/>
      </c>
      <c r="T25" s="78" t="str">
        <f t="shared" si="12"/>
        <v>-- 診療科名称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milscm_2023_010.azn_202310_backup_text_mml_mmlre_dp.dp_name IS '診療科名称';</v>
      </c>
    </row>
    <row r="26" spans="1:52" s="25" customFormat="1">
      <c r="A26" s="4"/>
      <c r="B26" s="21">
        <f t="shared" si="2"/>
        <v>14</v>
      </c>
      <c r="C26" s="6" t="s">
        <v>2953</v>
      </c>
      <c r="D26" s="6" t="s">
        <v>2954</v>
      </c>
      <c r="E26" s="8"/>
      <c r="F26" s="7" t="s">
        <v>1866</v>
      </c>
      <c r="G26" s="7" t="str">
        <f t="shared" si="7"/>
        <v>text</v>
      </c>
      <c r="H26" s="26"/>
      <c r="I26" s="10"/>
      <c r="J26" s="11"/>
      <c r="M26" s="4"/>
      <c r="N26" s="78"/>
      <c r="O26" s="78"/>
      <c r="P26" s="78" t="str">
        <f t="shared" si="8"/>
        <v>,dp_name_rep_code</v>
      </c>
      <c r="Q26" s="78" t="str">
        <f t="shared" si="9"/>
        <v>TEXT</v>
      </c>
      <c r="R26" s="78" t="str">
        <f t="shared" si="10"/>
        <v/>
      </c>
      <c r="S26" s="78" t="str">
        <f t="shared" si="11"/>
        <v/>
      </c>
      <c r="T26" s="78" t="str">
        <f t="shared" si="12"/>
        <v>-- 診療科名称_表記法</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milscm_2023_010.azn_202310_backup_text_mml_mmlre_dp.dp_name_rep_code IS '診療科名称_表記法';</v>
      </c>
    </row>
    <row r="27" spans="1:52" s="25" customFormat="1" ht="35.450000000000003" customHeight="1" thickBot="1">
      <c r="A27" s="4"/>
      <c r="B27" s="27">
        <f>ROW()-12</f>
        <v>15</v>
      </c>
      <c r="C27" s="57" t="s">
        <v>2955</v>
      </c>
      <c r="D27" s="57" t="s">
        <v>2956</v>
      </c>
      <c r="E27" s="56"/>
      <c r="F27" s="56" t="s">
        <v>1866</v>
      </c>
      <c r="G27" s="56" t="str">
        <f t="shared" si="3"/>
        <v>text</v>
      </c>
      <c r="H27" s="59"/>
      <c r="I27" s="60"/>
      <c r="J27" s="64"/>
      <c r="N27" s="78"/>
      <c r="O27" s="78"/>
      <c r="P27" s="78" t="str">
        <f t="shared" si="4"/>
        <v>,dp_name_table_id</v>
      </c>
      <c r="Q27" s="78" t="str">
        <f t="shared" si="0"/>
        <v>TEXT</v>
      </c>
      <c r="R27" s="78" t="str">
        <f t="shared" si="1"/>
        <v/>
      </c>
      <c r="S27" s="78" t="str">
        <f t="shared" si="5"/>
        <v/>
      </c>
      <c r="T27" s="78" t="str">
        <f t="shared" si="6"/>
        <v>-- 診療科名称_テーブル名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milscm_2023_010.azn_202310_backup_text_mml_mmlre_dp.dp_name_table_id IS '診療科名称_テーブル名';</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400-000000000000}"/>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codeName="Sheet7"/>
  <dimension ref="A1:AS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ENT_01_C1-01</v>
      </c>
      <c r="E6" s="239"/>
      <c r="F6" s="239"/>
      <c r="G6" s="239"/>
      <c r="H6" s="239"/>
      <c r="I6" s="239"/>
      <c r="J6" s="240"/>
    </row>
    <row r="7" spans="1:45">
      <c r="B7" s="228" t="s">
        <v>115</v>
      </c>
      <c r="C7" s="229"/>
      <c r="D7" s="230" t="s">
        <v>199</v>
      </c>
      <c r="E7" s="231"/>
      <c r="F7" s="231"/>
      <c r="G7" s="231"/>
      <c r="H7" s="231"/>
      <c r="I7" s="231"/>
      <c r="J7" s="232"/>
    </row>
    <row r="8" spans="1:45">
      <c r="B8" s="228" t="s">
        <v>116</v>
      </c>
      <c r="C8" s="229"/>
      <c r="D8" s="230" t="str">
        <f>エンティティ一覧!AE2&amp;"_"&amp;D5&amp;"_merge_dpc_dn"</f>
        <v>azn_202310_backup_merge_dpc_dn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milscm_2023_010.azn_202310_backup_merge_dpc_dn;</v>
      </c>
      <c r="O10" s="78"/>
      <c r="P10" s="78"/>
      <c r="Q10" s="78"/>
      <c r="R10" s="78"/>
      <c r="S10" s="78"/>
      <c r="T10" s="78"/>
      <c r="AJ10" s="78" t="str">
        <f>"ALTER TABLE ONLY "&amp;エンティティ一覧!$O$2&amp;"."&amp;D$8</f>
        <v>ALTER TABLE ONLY milscm_2023_010.azn_202310_backup_merge_dpc_dn</v>
      </c>
      <c r="AS10" s="78" t="str">
        <f>"ALTER TABLE "&amp;エンティティ一覧!$O$2&amp;"."&amp;D$8&amp;" OWNER TO pgmisgrp1;"</f>
        <v>ALTER TABLE milscm_2023_010.azn_202310_backup_merge_dpc_dn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milscm_2023_010.azn_202310_backup_merge_dpc_dn</v>
      </c>
      <c r="O11" s="78"/>
      <c r="P11" s="78"/>
      <c r="Q11" s="78"/>
      <c r="R11" s="78"/>
      <c r="S11" s="78"/>
      <c r="T11" s="78"/>
      <c r="AJ11" s="78" t="str">
        <f>"ADD CONSTRAINT "&amp;D$8&amp;"_pkey PRIMARY KEY"</f>
        <v>ADD CONSTRAINT azn_202310_backup_merge_dpc_dn_pkey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milscm_2023_010.azn_202310_backup_merge_dpc_dn IS 'バックアップ_DPC調査データ_Dファイル';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milscm_2023_010.azn_202310_backup_merge_dpc_dn.torikomi_ym IS '取込年月';</v>
      </c>
    </row>
    <row r="14" spans="1:45" s="25" customFormat="1">
      <c r="A14" s="4"/>
      <c r="B14" s="21">
        <f t="shared" ref="B14:B45" si="2">ROW()-12</f>
        <v>2</v>
      </c>
      <c r="C14" s="6" t="s">
        <v>203</v>
      </c>
      <c r="D14" s="6" t="s">
        <v>204</v>
      </c>
      <c r="E14" s="8"/>
      <c r="F14" s="8" t="s">
        <v>205</v>
      </c>
      <c r="G14" s="7" t="str">
        <f t="shared" ref="G14:G46" si="3">IF(F14="フラグ","boolean",IF(F14="文字列","text",IF(F14="整数","integer",IF(F14="実数","numeric",""))))</f>
        <v>integer</v>
      </c>
      <c r="H14" s="26"/>
      <c r="I14" s="10"/>
      <c r="J14" s="53" t="s">
        <v>258</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milscm_2023_010.azn_202310_backup_merge_dpc_dn.mil_karute_id IS '千年カルテID';</v>
      </c>
    </row>
    <row r="15" spans="1:45" s="25" customFormat="1" ht="37.5">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milscm_2023_010.azn_202310_backup_merge_dpc_dn.facility_id IS '施設ID';</v>
      </c>
    </row>
    <row r="16" spans="1:45" s="25" customFormat="1" ht="93.75">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milscm_2023_010.azn_202310_backup_merge_dpc_dn.shinryo_ym IS '診療年月';</v>
      </c>
    </row>
    <row r="17" spans="1:45" s="25" customFormat="1">
      <c r="B17" s="21">
        <f t="shared" si="2"/>
        <v>5</v>
      </c>
      <c r="C17" s="6" t="s">
        <v>208</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milscm_2023_010.azn_202310_backup_merge_dpc_dn.data_type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milscm_2023_010.azn_202310_backup_merge_dpc_dn.shikibetsu_no IS 'データ識別番号';</v>
      </c>
    </row>
    <row r="19" spans="1:45" s="25" customFormat="1" ht="37.5">
      <c r="B19" s="21">
        <f t="shared" si="2"/>
        <v>7</v>
      </c>
      <c r="C19" s="6" t="s">
        <v>212</v>
      </c>
      <c r="D19" s="6" t="s">
        <v>213</v>
      </c>
      <c r="E19" s="7" t="s">
        <v>127</v>
      </c>
      <c r="F19" s="7" t="s">
        <v>202</v>
      </c>
      <c r="G19" s="7" t="str">
        <f t="shared" si="3"/>
        <v>text</v>
      </c>
      <c r="H19" s="9"/>
      <c r="I19" s="10" t="s">
        <v>127</v>
      </c>
      <c r="J19" s="53" t="s">
        <v>262</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milscm_2023_010.azn_202310_backup_merge_dpc_dn.taiin_ymd IS '退院年月日';</v>
      </c>
    </row>
    <row r="20" spans="1:45" s="25" customFormat="1">
      <c r="B20" s="21">
        <f t="shared" si="2"/>
        <v>8</v>
      </c>
      <c r="C20" s="6" t="s">
        <v>143</v>
      </c>
      <c r="D20" s="6" t="s">
        <v>156</v>
      </c>
      <c r="E20" s="7" t="s">
        <v>127</v>
      </c>
      <c r="F20" s="7" t="s">
        <v>202</v>
      </c>
      <c r="G20" s="7" t="str">
        <f t="shared" si="3"/>
        <v>text</v>
      </c>
      <c r="H20" s="9"/>
      <c r="I20" s="10" t="s">
        <v>127</v>
      </c>
      <c r="J20" s="53" t="s">
        <v>144</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milscm_2023_010.azn_202310_backup_merge_dpc_dn.nyuin_ymd IS '入院年月日';</v>
      </c>
    </row>
    <row r="21" spans="1:45" s="25" customFormat="1">
      <c r="A21" s="4"/>
      <c r="B21" s="21">
        <f t="shared" si="2"/>
        <v>9</v>
      </c>
      <c r="C21" s="6" t="s">
        <v>214</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milscm_2023_010.azn_202310_backup_merge_dpc_dn.data_kubun IS 'データ区分';</v>
      </c>
    </row>
    <row r="22" spans="1:45" s="25" customFormat="1">
      <c r="A22" s="4"/>
      <c r="B22" s="21">
        <f t="shared" si="2"/>
        <v>10</v>
      </c>
      <c r="C22" s="14" t="s">
        <v>216</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milscm_2023_010.azn_202310_backup_merge_dpc_dn.junjo_no IS '順序番号';</v>
      </c>
    </row>
    <row r="23" spans="1:45" s="25" customFormat="1">
      <c r="A23" s="4"/>
      <c r="B23" s="21">
        <f t="shared" si="2"/>
        <v>11</v>
      </c>
      <c r="C23" s="14" t="s">
        <v>218</v>
      </c>
      <c r="D23" s="14" t="s">
        <v>219</v>
      </c>
      <c r="E23" s="7"/>
      <c r="F23" s="7" t="s">
        <v>202</v>
      </c>
      <c r="G23" s="7" t="str">
        <f t="shared" si="3"/>
        <v>text</v>
      </c>
      <c r="H23" s="26"/>
      <c r="I23" s="10"/>
      <c r="J23" s="53"/>
      <c r="N23" s="78"/>
      <c r="O23" s="78"/>
      <c r="P23" s="78" t="str">
        <f t="shared" si="4"/>
        <v>,tensu_master_code</v>
      </c>
      <c r="Q23" s="78" t="str">
        <f t="shared" si="0"/>
        <v>TEXT</v>
      </c>
      <c r="R23" s="78" t="str">
        <f t="shared" si="1"/>
        <v/>
      </c>
      <c r="S23" s="78" t="str">
        <f t="shared" si="5"/>
        <v/>
      </c>
      <c r="T23" s="78" t="str">
        <f t="shared" si="6"/>
        <v>-- 病院点数マスタコード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milscm_2023_010.azn_202310_backup_merge_dpc_dn.tensu_master_code IS '病院点数マスタコード';</v>
      </c>
    </row>
    <row r="24" spans="1:45" s="25" customFormat="1">
      <c r="A24" s="4"/>
      <c r="B24" s="21">
        <f t="shared" si="2"/>
        <v>12</v>
      </c>
      <c r="C24" s="6" t="s">
        <v>145</v>
      </c>
      <c r="D24" s="6" t="s">
        <v>154</v>
      </c>
      <c r="E24" s="8"/>
      <c r="F24" s="8" t="s">
        <v>202</v>
      </c>
      <c r="G24" s="7" t="str">
        <f t="shared" si="3"/>
        <v>text</v>
      </c>
      <c r="H24" s="9"/>
      <c r="I24" s="10"/>
      <c r="J24" s="53"/>
      <c r="N24" s="78"/>
      <c r="O24" s="78"/>
      <c r="P24" s="78" t="str">
        <f t="shared" ref="P24:P45" si="7">IF(B24&lt;&gt;1,","&amp;D24,D24)</f>
        <v>,receipt_densan_code</v>
      </c>
      <c r="Q24" s="78" t="str">
        <f t="shared" ref="Q24:Q45" si="8">UPPER(G24)</f>
        <v>TEXT</v>
      </c>
      <c r="R24" s="78" t="str">
        <f t="shared" ref="R24:R45" si="9">IF(H24&lt;&gt;"","default "&amp;IF(G24="text","'"&amp;H24&amp;"'",H24),"")</f>
        <v/>
      </c>
      <c r="S24" s="78" t="str">
        <f t="shared" ref="S24:S45" si="10">IF(I24="○","NOT NULL","")</f>
        <v/>
      </c>
      <c r="T24" s="78" t="str">
        <f t="shared" ref="T24:T45" si="11">"-- "&amp;C24</f>
        <v>-- レセプト電算処理システム用コード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milscm_2023_010.azn_202310_backup_merge_dpc_dn.receipt_densan_code IS 'レセプト電算処理システム用コード';</v>
      </c>
    </row>
    <row r="25" spans="1:45" s="25" customFormat="1">
      <c r="A25" s="4"/>
      <c r="B25" s="21">
        <f t="shared" si="2"/>
        <v>13</v>
      </c>
      <c r="C25" s="6" t="s">
        <v>220</v>
      </c>
      <c r="D25" s="6" t="s">
        <v>221</v>
      </c>
      <c r="E25" s="8"/>
      <c r="F25" s="8" t="s">
        <v>202</v>
      </c>
      <c r="G25" s="7" t="str">
        <f t="shared" si="3"/>
        <v>text</v>
      </c>
      <c r="H25" s="9"/>
      <c r="I25" s="10"/>
      <c r="J25" s="53"/>
      <c r="N25" s="78"/>
      <c r="O25" s="78"/>
      <c r="P25" s="78" t="str">
        <f t="shared" si="7"/>
        <v>,kaishaku_no</v>
      </c>
      <c r="Q25" s="78" t="str">
        <f t="shared" si="8"/>
        <v>TEXT</v>
      </c>
      <c r="R25" s="78" t="str">
        <f t="shared" si="9"/>
        <v/>
      </c>
      <c r="S25" s="78" t="str">
        <f t="shared" si="10"/>
        <v/>
      </c>
      <c r="T25" s="78" t="str">
        <f t="shared" si="11"/>
        <v>-- 解釈番号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milscm_2023_010.azn_202310_backup_merge_dpc_dn.kaishaku_no IS '解釈番号';</v>
      </c>
    </row>
    <row r="26" spans="1:45" s="25" customFormat="1">
      <c r="A26" s="4"/>
      <c r="B26" s="21">
        <f t="shared" si="2"/>
        <v>14</v>
      </c>
      <c r="C26" s="6" t="s">
        <v>222</v>
      </c>
      <c r="D26" s="6" t="s">
        <v>223</v>
      </c>
      <c r="E26" s="8"/>
      <c r="F26" s="8" t="s">
        <v>202</v>
      </c>
      <c r="G26" s="7" t="str">
        <f t="shared" si="3"/>
        <v>text</v>
      </c>
      <c r="H26" s="9"/>
      <c r="I26" s="10"/>
      <c r="J26" s="53" t="s">
        <v>147</v>
      </c>
      <c r="N26" s="78"/>
      <c r="O26" s="78"/>
      <c r="P26" s="78" t="str">
        <f t="shared" si="7"/>
        <v>,shinryo_koi_name</v>
      </c>
      <c r="Q26" s="78" t="str">
        <f t="shared" si="8"/>
        <v>TEXT</v>
      </c>
      <c r="R26" s="78" t="str">
        <f t="shared" si="9"/>
        <v/>
      </c>
      <c r="S26" s="78" t="str">
        <f t="shared" si="10"/>
        <v/>
      </c>
      <c r="T26" s="78" t="str">
        <f t="shared" si="11"/>
        <v>-- 診療行為名称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milscm_2023_010.azn_202310_backup_merge_dpc_dn.shinryo_koi_name IS '診療行為名称';</v>
      </c>
    </row>
    <row r="27" spans="1:45" s="25" customFormat="1">
      <c r="A27" s="4"/>
      <c r="B27" s="21">
        <f t="shared" si="2"/>
        <v>15</v>
      </c>
      <c r="C27" s="6" t="s">
        <v>224</v>
      </c>
      <c r="D27" s="6" t="s">
        <v>225</v>
      </c>
      <c r="E27" s="8"/>
      <c r="F27" s="8" t="s">
        <v>226</v>
      </c>
      <c r="G27" s="7" t="str">
        <f t="shared" si="3"/>
        <v>numeric</v>
      </c>
      <c r="H27" s="9"/>
      <c r="I27" s="10"/>
      <c r="J27" s="53"/>
      <c r="N27" s="78"/>
      <c r="O27" s="78"/>
      <c r="P27" s="78" t="str">
        <f t="shared" si="7"/>
        <v>,koi_tensu</v>
      </c>
      <c r="Q27" s="78" t="str">
        <f t="shared" si="8"/>
        <v>NUMERIC</v>
      </c>
      <c r="R27" s="78" t="str">
        <f t="shared" si="9"/>
        <v/>
      </c>
      <c r="S27" s="78" t="str">
        <f t="shared" si="10"/>
        <v/>
      </c>
      <c r="T27" s="78" t="str">
        <f t="shared" si="11"/>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milscm_2023_010.azn_202310_backup_merge_dpc_dn.koi_tensu IS '行為点数';</v>
      </c>
    </row>
    <row r="28" spans="1:45" s="25" customFormat="1">
      <c r="A28" s="4"/>
      <c r="B28" s="21">
        <f t="shared" si="2"/>
        <v>16</v>
      </c>
      <c r="C28" s="6" t="s">
        <v>227</v>
      </c>
      <c r="D28" s="6" t="s">
        <v>228</v>
      </c>
      <c r="E28" s="8"/>
      <c r="F28" s="8" t="s">
        <v>226</v>
      </c>
      <c r="G28" s="7" t="str">
        <f t="shared" si="3"/>
        <v>numeric</v>
      </c>
      <c r="H28" s="9"/>
      <c r="I28" s="10"/>
      <c r="J28" s="53"/>
      <c r="N28" s="78"/>
      <c r="O28" s="78"/>
      <c r="P28" s="78" t="str">
        <f t="shared" si="7"/>
        <v>,koi_yakuzai</v>
      </c>
      <c r="Q28" s="78" t="str">
        <f t="shared" si="8"/>
        <v>NUMERIC</v>
      </c>
      <c r="R28" s="78" t="str">
        <f t="shared" si="9"/>
        <v/>
      </c>
      <c r="S28" s="78" t="str">
        <f t="shared" si="10"/>
        <v/>
      </c>
      <c r="T28" s="78" t="str">
        <f t="shared" si="11"/>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milscm_2023_010.azn_202310_backup_merge_dpc_dn.koi_yakuzai IS '行為薬剤料';</v>
      </c>
    </row>
    <row r="29" spans="1:45" s="25" customFormat="1">
      <c r="A29" s="4"/>
      <c r="B29" s="21">
        <f t="shared" si="2"/>
        <v>17</v>
      </c>
      <c r="C29" s="6" t="s">
        <v>229</v>
      </c>
      <c r="D29" s="6" t="s">
        <v>230</v>
      </c>
      <c r="E29" s="8"/>
      <c r="F29" s="8" t="s">
        <v>226</v>
      </c>
      <c r="G29" s="7" t="str">
        <f t="shared" si="3"/>
        <v>numeric</v>
      </c>
      <c r="H29" s="9"/>
      <c r="I29" s="10"/>
      <c r="J29" s="53"/>
      <c r="N29" s="78"/>
      <c r="O29" s="78"/>
      <c r="P29" s="78" t="str">
        <f t="shared" si="7"/>
        <v>,koi_zairyo</v>
      </c>
      <c r="Q29" s="78" t="str">
        <f t="shared" si="8"/>
        <v>NUMERIC</v>
      </c>
      <c r="R29" s="78" t="str">
        <f t="shared" si="9"/>
        <v/>
      </c>
      <c r="S29" s="78" t="str">
        <f t="shared" si="10"/>
        <v/>
      </c>
      <c r="T29" s="78" t="str">
        <f t="shared" si="11"/>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milscm_2023_010.azn_202310_backup_merge_dpc_dn.koi_zairyo IS '行為材料料';</v>
      </c>
    </row>
    <row r="30" spans="1:45" s="25" customFormat="1">
      <c r="A30" s="4"/>
      <c r="B30" s="21">
        <f t="shared" si="2"/>
        <v>18</v>
      </c>
      <c r="C30" s="6" t="s">
        <v>151</v>
      </c>
      <c r="D30" s="6" t="s">
        <v>131</v>
      </c>
      <c r="E30" s="8"/>
      <c r="F30" s="8" t="s">
        <v>202</v>
      </c>
      <c r="G30" s="7" t="str">
        <f t="shared" si="3"/>
        <v>text</v>
      </c>
      <c r="H30" s="9"/>
      <c r="I30" s="10"/>
      <c r="J30" s="53" t="s">
        <v>152</v>
      </c>
      <c r="N30" s="78"/>
      <c r="O30" s="78"/>
      <c r="P30" s="78" t="str">
        <f t="shared" si="7"/>
        <v>,ten_kubun</v>
      </c>
      <c r="Q30" s="78" t="str">
        <f t="shared" si="8"/>
        <v>TEXT</v>
      </c>
      <c r="R30" s="78" t="str">
        <f t="shared" si="9"/>
        <v/>
      </c>
      <c r="S30" s="78" t="str">
        <f t="shared" si="10"/>
        <v/>
      </c>
      <c r="T30" s="78" t="str">
        <f t="shared" si="11"/>
        <v>-- 円・点区分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milscm_2023_010.azn_202310_backup_merge_dpc_dn.ten_kubun IS '円・点区分';</v>
      </c>
    </row>
    <row r="31" spans="1:45" s="25" customFormat="1">
      <c r="A31" s="4"/>
      <c r="B31" s="21">
        <f t="shared" si="2"/>
        <v>19</v>
      </c>
      <c r="C31" s="6" t="s">
        <v>148</v>
      </c>
      <c r="D31" s="6" t="s">
        <v>133</v>
      </c>
      <c r="E31" s="8"/>
      <c r="F31" s="8" t="s">
        <v>226</v>
      </c>
      <c r="G31" s="7" t="str">
        <f t="shared" si="3"/>
        <v>numeric</v>
      </c>
      <c r="H31" s="9"/>
      <c r="I31" s="10"/>
      <c r="J31" s="53"/>
      <c r="N31" s="78"/>
      <c r="O31" s="78"/>
      <c r="P31" s="78" t="str">
        <f t="shared" si="7"/>
        <v>,koi_times</v>
      </c>
      <c r="Q31" s="78" t="str">
        <f t="shared" si="8"/>
        <v>NUMERIC</v>
      </c>
      <c r="R31" s="78" t="str">
        <f t="shared" si="9"/>
        <v/>
      </c>
      <c r="S31" s="78" t="str">
        <f t="shared" si="10"/>
        <v/>
      </c>
      <c r="T31" s="78" t="str">
        <f t="shared" si="11"/>
        <v>-- 行為回数</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milscm_2023_010.azn_202310_backup_merge_dpc_dn.koi_times IS '行為回数';</v>
      </c>
    </row>
    <row r="32" spans="1:45" s="25" customFormat="1">
      <c r="A32" s="4"/>
      <c r="B32" s="21">
        <f t="shared" si="2"/>
        <v>20</v>
      </c>
      <c r="C32" s="6" t="s">
        <v>231</v>
      </c>
      <c r="D32" s="6" t="s">
        <v>232</v>
      </c>
      <c r="E32" s="8"/>
      <c r="F32" s="8" t="s">
        <v>202</v>
      </c>
      <c r="G32" s="7" t="str">
        <f t="shared" si="3"/>
        <v>text</v>
      </c>
      <c r="H32" s="9"/>
      <c r="I32" s="10"/>
      <c r="J32" s="53"/>
      <c r="N32" s="78"/>
      <c r="O32" s="78"/>
      <c r="P32" s="78" t="str">
        <f t="shared" si="7"/>
        <v>,hoken_no</v>
      </c>
      <c r="Q32" s="78" t="str">
        <f t="shared" si="8"/>
        <v>TEXT</v>
      </c>
      <c r="R32" s="78" t="str">
        <f t="shared" si="9"/>
        <v/>
      </c>
      <c r="S32" s="78" t="str">
        <f t="shared" si="10"/>
        <v/>
      </c>
      <c r="T32" s="78" t="str">
        <f t="shared" si="11"/>
        <v>-- 保険者番号</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milscm_2023_010.azn_202310_backup_merge_dpc_dn.hoken_no IS '保険者番号';</v>
      </c>
    </row>
    <row r="33" spans="1:45" s="25" customFormat="1">
      <c r="A33" s="4"/>
      <c r="B33" s="21">
        <f t="shared" si="2"/>
        <v>21</v>
      </c>
      <c r="C33" s="6" t="s">
        <v>233</v>
      </c>
      <c r="D33" s="6" t="s">
        <v>234</v>
      </c>
      <c r="E33" s="8"/>
      <c r="F33" s="8" t="s">
        <v>202</v>
      </c>
      <c r="G33" s="7" t="str">
        <f t="shared" si="3"/>
        <v>text</v>
      </c>
      <c r="H33" s="9"/>
      <c r="I33" s="10"/>
      <c r="J33" s="53"/>
      <c r="N33" s="78"/>
      <c r="O33" s="78"/>
      <c r="P33" s="78" t="str">
        <f t="shared" si="7"/>
        <v>,receipt_type_code</v>
      </c>
      <c r="Q33" s="78" t="str">
        <f t="shared" si="8"/>
        <v>TEXT</v>
      </c>
      <c r="R33" s="78" t="str">
        <f t="shared" si="9"/>
        <v/>
      </c>
      <c r="S33" s="78" t="str">
        <f t="shared" si="10"/>
        <v/>
      </c>
      <c r="T33" s="78" t="str">
        <f t="shared" si="11"/>
        <v>-- レセプト種別コード</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milscm_2023_010.azn_202310_backup_merge_dpc_dn.receipt_type_code IS 'レセプト種別コード';</v>
      </c>
    </row>
    <row r="34" spans="1:45" s="25" customFormat="1">
      <c r="A34" s="4"/>
      <c r="B34" s="21">
        <f t="shared" si="2"/>
        <v>22</v>
      </c>
      <c r="C34" s="6" t="s">
        <v>149</v>
      </c>
      <c r="D34" s="6" t="s">
        <v>155</v>
      </c>
      <c r="E34" s="8"/>
      <c r="F34" s="8" t="s">
        <v>202</v>
      </c>
      <c r="G34" s="7" t="str">
        <f t="shared" si="3"/>
        <v>text</v>
      </c>
      <c r="H34" s="9"/>
      <c r="I34" s="10"/>
      <c r="J34" s="53" t="s">
        <v>144</v>
      </c>
      <c r="N34" s="78"/>
      <c r="O34" s="78"/>
      <c r="P34" s="78" t="str">
        <f t="shared" si="7"/>
        <v>,jisshi_ymd</v>
      </c>
      <c r="Q34" s="78" t="str">
        <f t="shared" si="8"/>
        <v>TEXT</v>
      </c>
      <c r="R34" s="78" t="str">
        <f t="shared" si="9"/>
        <v/>
      </c>
      <c r="S34" s="78" t="str">
        <f t="shared" si="10"/>
        <v/>
      </c>
      <c r="T34" s="78" t="str">
        <f t="shared" si="11"/>
        <v>-- 実施年月日</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milscm_2023_010.azn_202310_backup_merge_dpc_dn.jisshi_ymd IS '実施年月日';</v>
      </c>
    </row>
    <row r="35" spans="1:45" s="25" customFormat="1">
      <c r="A35" s="4"/>
      <c r="B35" s="21">
        <f t="shared" si="2"/>
        <v>23</v>
      </c>
      <c r="C35" s="6" t="s">
        <v>235</v>
      </c>
      <c r="D35" s="6" t="s">
        <v>236</v>
      </c>
      <c r="E35" s="8"/>
      <c r="F35" s="8" t="s">
        <v>202</v>
      </c>
      <c r="G35" s="7" t="str">
        <f t="shared" si="3"/>
        <v>text</v>
      </c>
      <c r="H35" s="9"/>
      <c r="I35" s="10"/>
      <c r="J35" s="53"/>
      <c r="N35" s="78"/>
      <c r="O35" s="78"/>
      <c r="P35" s="78" t="str">
        <f t="shared" si="7"/>
        <v>,receipt_ka_kubun</v>
      </c>
      <c r="Q35" s="78" t="str">
        <f t="shared" si="8"/>
        <v>TEXT</v>
      </c>
      <c r="R35" s="78" t="str">
        <f t="shared" si="9"/>
        <v/>
      </c>
      <c r="S35" s="78" t="str">
        <f t="shared" si="10"/>
        <v/>
      </c>
      <c r="T35" s="78" t="str">
        <f t="shared" si="11"/>
        <v>-- レセプト科区分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milscm_2023_010.azn_202310_backup_merge_dpc_dn.receipt_ka_kubun IS 'レセプト科区分';</v>
      </c>
    </row>
    <row r="36" spans="1:45" s="25" customFormat="1">
      <c r="A36" s="4"/>
      <c r="B36" s="21">
        <f t="shared" si="2"/>
        <v>24</v>
      </c>
      <c r="C36" s="6" t="s">
        <v>134</v>
      </c>
      <c r="D36" s="6" t="s">
        <v>135</v>
      </c>
      <c r="E36" s="8"/>
      <c r="F36" s="8" t="s">
        <v>202</v>
      </c>
      <c r="G36" s="7" t="str">
        <f t="shared" si="3"/>
        <v>text</v>
      </c>
      <c r="H36" s="9"/>
      <c r="I36" s="10"/>
      <c r="J36" s="53"/>
      <c r="N36" s="78"/>
      <c r="O36" s="78"/>
      <c r="P36" s="78" t="str">
        <f t="shared" si="7"/>
        <v>,department_kubun</v>
      </c>
      <c r="Q36" s="78" t="str">
        <f t="shared" si="8"/>
        <v>TEXT</v>
      </c>
      <c r="R36" s="78" t="str">
        <f t="shared" si="9"/>
        <v/>
      </c>
      <c r="S36" s="78" t="str">
        <f t="shared" si="10"/>
        <v/>
      </c>
      <c r="T36" s="78" t="str">
        <f t="shared" si="11"/>
        <v>-- 診療科区分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milscm_2023_010.azn_202310_backup_merge_dpc_dn.department_kubun IS '診療科区分';</v>
      </c>
    </row>
    <row r="37" spans="1:45" s="25" customFormat="1">
      <c r="A37" s="4"/>
      <c r="B37" s="21">
        <f t="shared" si="2"/>
        <v>25</v>
      </c>
      <c r="C37" s="6" t="s">
        <v>237</v>
      </c>
      <c r="D37" s="6" t="s">
        <v>238</v>
      </c>
      <c r="E37" s="8"/>
      <c r="F37" s="8" t="s">
        <v>202</v>
      </c>
      <c r="G37" s="7" t="str">
        <f t="shared" si="3"/>
        <v>text</v>
      </c>
      <c r="H37" s="9"/>
      <c r="I37" s="10"/>
      <c r="J37" s="53"/>
      <c r="N37" s="78"/>
      <c r="O37" s="78"/>
      <c r="P37" s="78" t="str">
        <f t="shared" si="7"/>
        <v>,doctor_code</v>
      </c>
      <c r="Q37" s="78" t="str">
        <f t="shared" si="8"/>
        <v>TEXT</v>
      </c>
      <c r="R37" s="78" t="str">
        <f t="shared" si="9"/>
        <v/>
      </c>
      <c r="S37" s="78" t="str">
        <f t="shared" si="10"/>
        <v/>
      </c>
      <c r="T37" s="78" t="str">
        <f t="shared" si="11"/>
        <v>-- 医師コード</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milscm_2023_010.azn_202310_backup_merge_dpc_dn.doctor_code IS '医師コード';</v>
      </c>
    </row>
    <row r="38" spans="1:45" s="25" customFormat="1">
      <c r="A38" s="4"/>
      <c r="B38" s="21">
        <f t="shared" si="2"/>
        <v>26</v>
      </c>
      <c r="C38" s="6" t="s">
        <v>239</v>
      </c>
      <c r="D38" s="6" t="s">
        <v>240</v>
      </c>
      <c r="E38" s="8"/>
      <c r="F38" s="8" t="s">
        <v>202</v>
      </c>
      <c r="G38" s="7" t="str">
        <f t="shared" si="3"/>
        <v>text</v>
      </c>
      <c r="H38" s="9"/>
      <c r="I38" s="10"/>
      <c r="J38" s="53"/>
      <c r="N38" s="78"/>
      <c r="O38" s="78"/>
      <c r="P38" s="78" t="str">
        <f t="shared" si="7"/>
        <v>,ward_code</v>
      </c>
      <c r="Q38" s="78" t="str">
        <f t="shared" si="8"/>
        <v>TEXT</v>
      </c>
      <c r="R38" s="78" t="str">
        <f t="shared" si="9"/>
        <v/>
      </c>
      <c r="S38" s="78" t="str">
        <f t="shared" si="10"/>
        <v/>
      </c>
      <c r="T38" s="78" t="str">
        <f t="shared" si="11"/>
        <v>-- 病棟コード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milscm_2023_010.azn_202310_backup_merge_dpc_dn.ward_code IS '病棟コード';</v>
      </c>
    </row>
    <row r="39" spans="1:45" s="25" customFormat="1">
      <c r="A39" s="4"/>
      <c r="B39" s="21">
        <f t="shared" si="2"/>
        <v>27</v>
      </c>
      <c r="C39" s="6" t="s">
        <v>241</v>
      </c>
      <c r="D39" s="6" t="s">
        <v>242</v>
      </c>
      <c r="E39" s="8"/>
      <c r="F39" s="8" t="s">
        <v>202</v>
      </c>
      <c r="G39" s="7" t="str">
        <f t="shared" si="3"/>
        <v>text</v>
      </c>
      <c r="H39" s="9"/>
      <c r="I39" s="10"/>
      <c r="J39" s="53" t="s">
        <v>263</v>
      </c>
      <c r="N39" s="78"/>
      <c r="O39" s="78"/>
      <c r="P39" s="78" t="str">
        <f t="shared" si="7"/>
        <v>,ward_kubun</v>
      </c>
      <c r="Q39" s="78" t="str">
        <f t="shared" si="8"/>
        <v>TEXT</v>
      </c>
      <c r="R39" s="78" t="str">
        <f t="shared" si="9"/>
        <v/>
      </c>
      <c r="S39" s="78" t="str">
        <f t="shared" si="10"/>
        <v/>
      </c>
      <c r="T39" s="78" t="str">
        <f t="shared" si="11"/>
        <v>-- 病棟区分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milscm_2023_010.azn_202310_backup_merge_dpc_dn.ward_kubun IS '病棟区分';</v>
      </c>
    </row>
    <row r="40" spans="1:45" s="25" customFormat="1">
      <c r="A40" s="4"/>
      <c r="B40" s="21">
        <f t="shared" si="2"/>
        <v>28</v>
      </c>
      <c r="C40" s="6" t="s">
        <v>243</v>
      </c>
      <c r="D40" s="6" t="s">
        <v>244</v>
      </c>
      <c r="E40" s="8"/>
      <c r="F40" s="8" t="s">
        <v>202</v>
      </c>
      <c r="G40" s="7" t="str">
        <f t="shared" si="3"/>
        <v>text</v>
      </c>
      <c r="H40" s="9"/>
      <c r="I40" s="10"/>
      <c r="J40" s="53" t="s">
        <v>264</v>
      </c>
      <c r="N40" s="78"/>
      <c r="O40" s="78"/>
      <c r="P40" s="78" t="str">
        <f t="shared" si="7"/>
        <v>,nyugai_kubun</v>
      </c>
      <c r="Q40" s="78" t="str">
        <f t="shared" si="8"/>
        <v>TEXT</v>
      </c>
      <c r="R40" s="78" t="str">
        <f t="shared" si="9"/>
        <v/>
      </c>
      <c r="S40" s="78" t="str">
        <f t="shared" si="10"/>
        <v/>
      </c>
      <c r="T40" s="78" t="str">
        <f t="shared" si="11"/>
        <v>-- 入外区分</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milscm_2023_010.azn_202310_backup_merge_dpc_dn.nyugai_kubun IS '入外区分';</v>
      </c>
    </row>
    <row r="41" spans="1:45" s="25" customFormat="1">
      <c r="A41" s="4"/>
      <c r="B41" s="21">
        <f t="shared" si="2"/>
        <v>29</v>
      </c>
      <c r="C41" s="6" t="s">
        <v>245</v>
      </c>
      <c r="D41" s="6" t="s">
        <v>246</v>
      </c>
      <c r="E41" s="8"/>
      <c r="F41" s="8" t="s">
        <v>202</v>
      </c>
      <c r="G41" s="7" t="str">
        <f t="shared" si="3"/>
        <v>text</v>
      </c>
      <c r="H41" s="9"/>
      <c r="I41" s="10"/>
      <c r="J41" s="53"/>
      <c r="N41" s="78"/>
      <c r="O41" s="78"/>
      <c r="P41" s="78" t="str">
        <f t="shared" si="7"/>
        <v>,facility_type</v>
      </c>
      <c r="Q41" s="78" t="str">
        <f t="shared" si="8"/>
        <v>TEXT</v>
      </c>
      <c r="R41" s="78" t="str">
        <f t="shared" si="9"/>
        <v/>
      </c>
      <c r="S41" s="78" t="str">
        <f t="shared" si="10"/>
        <v/>
      </c>
      <c r="T41" s="78" t="str">
        <f t="shared" si="11"/>
        <v>-- 施設タイプ</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milscm_2023_010.azn_202310_backup_merge_dpc_dn.facility_type IS '施設タイプ';</v>
      </c>
    </row>
    <row r="42" spans="1:45" s="25" customFormat="1">
      <c r="A42" s="4"/>
      <c r="B42" s="21">
        <f t="shared" si="2"/>
        <v>30</v>
      </c>
      <c r="C42" s="6" t="s">
        <v>247</v>
      </c>
      <c r="D42" s="6" t="s">
        <v>248</v>
      </c>
      <c r="E42" s="8"/>
      <c r="F42" s="8" t="s">
        <v>202</v>
      </c>
      <c r="G42" s="7" t="str">
        <f t="shared" si="3"/>
        <v>text</v>
      </c>
      <c r="H42" s="9"/>
      <c r="I42" s="10"/>
      <c r="J42" s="53" t="s">
        <v>144</v>
      </c>
      <c r="N42" s="78"/>
      <c r="O42" s="78"/>
      <c r="P42" s="78" t="str">
        <f t="shared" si="7"/>
        <v>,santei_start_ymd</v>
      </c>
      <c r="Q42" s="78" t="str">
        <f t="shared" si="8"/>
        <v>TEXT</v>
      </c>
      <c r="R42" s="78" t="str">
        <f t="shared" si="9"/>
        <v/>
      </c>
      <c r="S42" s="78" t="str">
        <f t="shared" si="10"/>
        <v/>
      </c>
      <c r="T42" s="78" t="str">
        <f t="shared" si="11"/>
        <v>-- 算定開始日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milscm_2023_010.azn_202310_backup_merge_dpc_dn.santei_start_ymd IS '算定開始日';</v>
      </c>
    </row>
    <row r="43" spans="1:45" s="25" customFormat="1">
      <c r="A43" s="4"/>
      <c r="B43" s="21">
        <f t="shared" si="2"/>
        <v>31</v>
      </c>
      <c r="C43" s="6" t="s">
        <v>249</v>
      </c>
      <c r="D43" s="6" t="s">
        <v>250</v>
      </c>
      <c r="E43" s="8"/>
      <c r="F43" s="8" t="s">
        <v>202</v>
      </c>
      <c r="G43" s="7" t="str">
        <f t="shared" si="3"/>
        <v>text</v>
      </c>
      <c r="H43" s="9"/>
      <c r="I43" s="10"/>
      <c r="J43" s="53" t="s">
        <v>144</v>
      </c>
      <c r="N43" s="78"/>
      <c r="O43" s="78"/>
      <c r="P43" s="78" t="str">
        <f t="shared" si="7"/>
        <v>,santei_end_ymd</v>
      </c>
      <c r="Q43" s="78" t="str">
        <f t="shared" si="8"/>
        <v>TEXT</v>
      </c>
      <c r="R43" s="78" t="str">
        <f t="shared" si="9"/>
        <v/>
      </c>
      <c r="S43" s="78" t="str">
        <f t="shared" si="10"/>
        <v/>
      </c>
      <c r="T43" s="78" t="str">
        <f t="shared" si="11"/>
        <v>-- 算定終了日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milscm_2023_010.azn_202310_backup_merge_dpc_dn.santei_end_ymd IS '算定終了日';</v>
      </c>
    </row>
    <row r="44" spans="1:45" s="25" customFormat="1">
      <c r="A44" s="4"/>
      <c r="B44" s="21">
        <f t="shared" si="2"/>
        <v>32</v>
      </c>
      <c r="C44" s="6" t="s">
        <v>251</v>
      </c>
      <c r="D44" s="6" t="s">
        <v>252</v>
      </c>
      <c r="E44" s="8"/>
      <c r="F44" s="8" t="s">
        <v>202</v>
      </c>
      <c r="G44" s="7" t="str">
        <f t="shared" si="3"/>
        <v>text</v>
      </c>
      <c r="H44" s="9"/>
      <c r="I44" s="10"/>
      <c r="J44" s="53" t="s">
        <v>144</v>
      </c>
      <c r="N44" s="78"/>
      <c r="O44" s="78"/>
      <c r="P44" s="78" t="str">
        <f t="shared" si="7"/>
        <v>,santei_kisan_ymd</v>
      </c>
      <c r="Q44" s="78" t="str">
        <f t="shared" si="8"/>
        <v>TEXT</v>
      </c>
      <c r="R44" s="78" t="str">
        <f t="shared" si="9"/>
        <v/>
      </c>
      <c r="S44" s="78" t="str">
        <f t="shared" si="10"/>
        <v/>
      </c>
      <c r="T44" s="78" t="str">
        <f t="shared" si="11"/>
        <v>-- 算定起算日</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milscm_2023_010.azn_202310_backup_merge_dpc_dn.santei_kisan_ymd IS '算定起算日';</v>
      </c>
    </row>
    <row r="45" spans="1:45" s="25" customFormat="1">
      <c r="A45" s="4"/>
      <c r="B45" s="21">
        <f t="shared" si="2"/>
        <v>33</v>
      </c>
      <c r="C45" s="6" t="s">
        <v>253</v>
      </c>
      <c r="D45" s="6" t="s">
        <v>254</v>
      </c>
      <c r="E45" s="8"/>
      <c r="F45" s="8" t="s">
        <v>202</v>
      </c>
      <c r="G45" s="7" t="str">
        <f t="shared" si="3"/>
        <v>text</v>
      </c>
      <c r="H45" s="9"/>
      <c r="I45" s="10"/>
      <c r="J45" s="53"/>
      <c r="N45" s="78"/>
      <c r="O45" s="78"/>
      <c r="P45" s="78" t="str">
        <f t="shared" si="7"/>
        <v>,bunrui_no</v>
      </c>
      <c r="Q45" s="78" t="str">
        <f t="shared" si="8"/>
        <v>TEXT</v>
      </c>
      <c r="R45" s="78" t="str">
        <f t="shared" si="9"/>
        <v/>
      </c>
      <c r="S45" s="78" t="str">
        <f t="shared" si="10"/>
        <v/>
      </c>
      <c r="T45" s="78" t="str">
        <f t="shared" si="11"/>
        <v>-- 分類番号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milscm_2023_010.azn_202310_backup_merge_dpc_dn.bunrui_no IS '分類番号';</v>
      </c>
    </row>
    <row r="46" spans="1:45" s="25" customFormat="1" ht="38.25" thickBot="1">
      <c r="A46" s="4"/>
      <c r="B46" s="27">
        <f>ROW()-12</f>
        <v>34</v>
      </c>
      <c r="C46" s="28" t="s">
        <v>255</v>
      </c>
      <c r="D46" s="28" t="s">
        <v>256</v>
      </c>
      <c r="E46" s="29"/>
      <c r="F46" s="29" t="s">
        <v>202</v>
      </c>
      <c r="G46" s="56" t="str">
        <f t="shared" si="3"/>
        <v>text</v>
      </c>
      <c r="H46" s="30"/>
      <c r="I46" s="31"/>
      <c r="J46" s="55" t="s">
        <v>265</v>
      </c>
      <c r="N46" s="78"/>
      <c r="O46" s="78"/>
      <c r="P46" s="78" t="str">
        <f t="shared" si="4"/>
        <v>,hospital_keisu</v>
      </c>
      <c r="Q46" s="78" t="str">
        <f t="shared" si="0"/>
        <v>TEXT</v>
      </c>
      <c r="R46" s="78" t="str">
        <f t="shared" si="1"/>
        <v/>
      </c>
      <c r="S46" s="78" t="str">
        <f t="shared" si="5"/>
        <v/>
      </c>
      <c r="T46" s="78" t="str">
        <f t="shared" si="6"/>
        <v>-- 医療機関係数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milscm_2023_010.azn_202310_backup_merge_dpc_dn.hospital_keisu IS '医療機関係数';</v>
      </c>
    </row>
    <row r="47" spans="1:45">
      <c r="M47" s="25"/>
      <c r="N47" s="78" t="s">
        <v>142</v>
      </c>
      <c r="O47" s="78"/>
      <c r="P47" s="78"/>
      <c r="Q47" s="78"/>
      <c r="R47" s="78"/>
      <c r="S47" s="78"/>
      <c r="T47" s="78"/>
      <c r="V47" s="25"/>
      <c r="W47" s="25"/>
      <c r="X47" s="25"/>
      <c r="Y47" s="25"/>
      <c r="Z47" s="25"/>
      <c r="AJ47" s="78"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H1:I1"/>
    <mergeCell ref="H2:I2"/>
    <mergeCell ref="D1:G1"/>
    <mergeCell ref="D2:G2"/>
  </mergeCells>
  <phoneticPr fontId="8"/>
  <hyperlinks>
    <hyperlink ref="A1" location="エンティティ一覧!A1" display="エンティティ一覧" xr:uid="{00000000-0004-0000-6500-000000000000}"/>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codeName="Sheet8"/>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ENT_01_C1-02</v>
      </c>
      <c r="E6" s="239"/>
      <c r="F6" s="239"/>
      <c r="G6" s="239"/>
      <c r="H6" s="239"/>
      <c r="I6" s="239"/>
      <c r="J6" s="240"/>
    </row>
    <row r="7" spans="1:45">
      <c r="B7" s="228" t="s">
        <v>115</v>
      </c>
      <c r="C7" s="229"/>
      <c r="D7" s="230" t="s">
        <v>193</v>
      </c>
      <c r="E7" s="231"/>
      <c r="F7" s="231"/>
      <c r="G7" s="231"/>
      <c r="H7" s="231"/>
      <c r="I7" s="231"/>
      <c r="J7" s="232"/>
    </row>
    <row r="8" spans="1:45">
      <c r="B8" s="228" t="s">
        <v>116</v>
      </c>
      <c r="C8" s="229"/>
      <c r="D8" s="230" t="str">
        <f>エンティティ一覧!AE2&amp;"_"&amp;D5&amp;"_merge_dpc_efn"</f>
        <v>azn_202310_backup_merge_dpc_efn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milscm_2023_010.azn_202310_backup_merge_dpc_efn;</v>
      </c>
      <c r="O10" s="78"/>
      <c r="P10" s="78"/>
      <c r="Q10" s="78"/>
      <c r="R10" s="78"/>
      <c r="S10" s="78"/>
      <c r="T10" s="78"/>
      <c r="AJ10" s="78" t="str">
        <f>"ALTER TABLE ONLY "&amp;エンティティ一覧!$O$2&amp;"."&amp;D$8</f>
        <v>ALTER TABLE ONLY milscm_2023_010.azn_202310_backup_merge_dpc_efn</v>
      </c>
      <c r="AS10" s="78" t="str">
        <f>"ALTER TABLE "&amp;エンティティ一覧!$O$2&amp;"."&amp;D$8&amp;" OWNER TO pgmisgrp1;"</f>
        <v>ALTER TABLE milscm_2023_010.azn_202310_backup_merge_dpc_efn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milscm_2023_010.azn_202310_backup_merge_dpc_efn</v>
      </c>
      <c r="O11" s="78"/>
      <c r="P11" s="78"/>
      <c r="Q11" s="78"/>
      <c r="R11" s="78"/>
      <c r="S11" s="78"/>
      <c r="T11" s="78"/>
      <c r="AJ11" s="78" t="str">
        <f>"ADD CONSTRAINT "&amp;D$8&amp;"_pkey PRIMARY KEY"</f>
        <v>ADD CONSTRAINT azn_202310_backup_merge_dpc_efn_pkey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milscm_2023_010.azn_202310_backup_merge_dpc_efn IS 'バックアップ_DPC調査データ_入院EF統合ファイル';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46" si="0">UPPER(G13)</f>
        <v>TEXT</v>
      </c>
      <c r="R13" s="78" t="str">
        <f t="shared" ref="R13:R4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milscm_2023_010.azn_202310_backup_merge_dpc_efn.torikomi_ym IS '取込年月';</v>
      </c>
    </row>
    <row r="14" spans="1:45" s="25" customFormat="1">
      <c r="A14" s="4"/>
      <c r="B14" s="21">
        <f t="shared" ref="B14:B46" si="2">ROW()-12</f>
        <v>2</v>
      </c>
      <c r="C14" s="6" t="s">
        <v>203</v>
      </c>
      <c r="D14" s="6" t="s">
        <v>204</v>
      </c>
      <c r="E14" s="8"/>
      <c r="F14" s="8" t="s">
        <v>205</v>
      </c>
      <c r="G14" s="7" t="str">
        <f t="shared" ref="G14:G47" si="3">IF(F14="フラグ","boolean",IF(F14="文字列","text",IF(F14="整数","integer",IF(F14="実数","numeric",""))))</f>
        <v>integer</v>
      </c>
      <c r="H14" s="26"/>
      <c r="I14" s="10"/>
      <c r="J14" s="53" t="s">
        <v>258</v>
      </c>
      <c r="M14" s="4"/>
      <c r="N14" s="78"/>
      <c r="O14" s="78"/>
      <c r="P14" s="78" t="str">
        <f t="shared" ref="P14:P4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milscm_2023_010.azn_202310_backup_merge_dpc_efn.mil_karute_id IS '千年カルテID';</v>
      </c>
    </row>
    <row r="15" spans="1:45" s="25" customFormat="1" ht="37.5">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milscm_2023_010.azn_202310_backup_merge_dpc_efn.facility_id IS '施設ID';</v>
      </c>
    </row>
    <row r="16" spans="1:45" s="25" customFormat="1" ht="93.75">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46" si="5">IF(I16="○","NOT NULL","")</f>
        <v>NOT NULL</v>
      </c>
      <c r="T16" s="78" t="str">
        <f t="shared" ref="T16:T46"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milscm_2023_010.azn_202310_backup_merge_dpc_efn.shinryo_ym IS '診療年月';</v>
      </c>
    </row>
    <row r="17" spans="1:45" s="25" customFormat="1">
      <c r="B17" s="21">
        <f t="shared" si="2"/>
        <v>5</v>
      </c>
      <c r="C17" s="6" t="s">
        <v>266</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milscm_2023_010.azn_202310_backup_merge_dpc_efn.data_type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milscm_2023_010.azn_202310_backup_merge_dpc_efn.shikibetsu_no IS 'データ識別番号';</v>
      </c>
    </row>
    <row r="19" spans="1:45" s="25" customFormat="1">
      <c r="B19" s="21">
        <f t="shared" si="2"/>
        <v>7</v>
      </c>
      <c r="C19" s="6" t="s">
        <v>267</v>
      </c>
      <c r="D19" s="6" t="s">
        <v>213</v>
      </c>
      <c r="E19" s="7" t="s">
        <v>127</v>
      </c>
      <c r="F19" s="7" t="s">
        <v>202</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milscm_2023_010.azn_202310_backup_merge_dpc_efn.taiin_ymd IS '退院年月日';</v>
      </c>
    </row>
    <row r="20" spans="1:45" s="25" customFormat="1" ht="56.25">
      <c r="B20" s="21">
        <f t="shared" si="2"/>
        <v>8</v>
      </c>
      <c r="C20" s="6" t="s">
        <v>268</v>
      </c>
      <c r="D20" s="6" t="s">
        <v>156</v>
      </c>
      <c r="E20" s="7" t="s">
        <v>127</v>
      </c>
      <c r="F20" s="7" t="s">
        <v>202</v>
      </c>
      <c r="G20" s="7" t="str">
        <f t="shared" si="3"/>
        <v>text</v>
      </c>
      <c r="H20" s="9"/>
      <c r="I20" s="10" t="s">
        <v>127</v>
      </c>
      <c r="J20" s="53" t="s">
        <v>296</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milscm_2023_010.azn_202310_backup_merge_dpc_efn.nyuin_ymd IS '入院年月日';</v>
      </c>
    </row>
    <row r="21" spans="1:45" s="25" customFormat="1">
      <c r="A21" s="4"/>
      <c r="B21" s="21">
        <f t="shared" si="2"/>
        <v>9</v>
      </c>
      <c r="C21" s="6" t="s">
        <v>269</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milscm_2023_010.azn_202310_backup_merge_dpc_efn.data_kubun IS 'データ区分';</v>
      </c>
    </row>
    <row r="22" spans="1:45" s="25" customFormat="1">
      <c r="A22" s="4"/>
      <c r="B22" s="21">
        <f t="shared" si="2"/>
        <v>10</v>
      </c>
      <c r="C22" s="14" t="s">
        <v>270</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milscm_2023_010.azn_202310_backup_merge_dpc_efn.junjo_no IS '順序番号';</v>
      </c>
    </row>
    <row r="23" spans="1:45" s="25" customFormat="1" ht="37.5">
      <c r="A23" s="4"/>
      <c r="B23" s="21">
        <f t="shared" si="2"/>
        <v>11</v>
      </c>
      <c r="C23" s="14" t="s">
        <v>271</v>
      </c>
      <c r="D23" s="14" t="s">
        <v>153</v>
      </c>
      <c r="E23" s="7" t="s">
        <v>127</v>
      </c>
      <c r="F23" s="7" t="s">
        <v>202</v>
      </c>
      <c r="G23" s="7" t="str">
        <f t="shared" si="3"/>
        <v>text</v>
      </c>
      <c r="H23" s="26"/>
      <c r="I23" s="10" t="s">
        <v>127</v>
      </c>
      <c r="J23" s="53"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milscm_2023_010.azn_202310_backup_merge_dpc_efn.koi_meisai_no IS '行為明細番号';</v>
      </c>
    </row>
    <row r="24" spans="1:45" s="25" customFormat="1">
      <c r="A24" s="4"/>
      <c r="B24" s="21">
        <f t="shared" si="2"/>
        <v>12</v>
      </c>
      <c r="C24" s="6" t="s">
        <v>272</v>
      </c>
      <c r="D24" s="6" t="s">
        <v>219</v>
      </c>
      <c r="E24" s="8"/>
      <c r="F24" s="8" t="s">
        <v>202</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milscm_2023_010.azn_202310_backup_merge_dpc_efn.tensu_master_code IS '病院点数マスタコード';</v>
      </c>
    </row>
    <row r="25" spans="1:45" s="25" customFormat="1" ht="37.5">
      <c r="A25" s="4"/>
      <c r="B25" s="21">
        <f t="shared" si="2"/>
        <v>13</v>
      </c>
      <c r="C25" s="6" t="s">
        <v>145</v>
      </c>
      <c r="D25" s="6" t="s">
        <v>154</v>
      </c>
      <c r="E25" s="8"/>
      <c r="F25" s="8" t="s">
        <v>202</v>
      </c>
      <c r="G25" s="7" t="str">
        <f t="shared" si="3"/>
        <v>text</v>
      </c>
      <c r="H25" s="9"/>
      <c r="I25" s="10"/>
      <c r="J25" s="53"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milscm_2023_010.azn_202310_backup_merge_dpc_efn.receipt_densan_code IS 'レセプト電算処理システム用コード';</v>
      </c>
    </row>
    <row r="26" spans="1:45" s="25" customFormat="1">
      <c r="A26" s="4"/>
      <c r="B26" s="21">
        <f t="shared" si="2"/>
        <v>14</v>
      </c>
      <c r="C26" s="6" t="s">
        <v>273</v>
      </c>
      <c r="D26" s="6" t="s">
        <v>221</v>
      </c>
      <c r="E26" s="8"/>
      <c r="F26" s="8" t="s">
        <v>202</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milscm_2023_010.azn_202310_backup_merge_dpc_efn.kaishaku_no IS '解釈番号';</v>
      </c>
    </row>
    <row r="27" spans="1:45" s="25" customFormat="1">
      <c r="A27" s="4"/>
      <c r="B27" s="21">
        <f t="shared" si="2"/>
        <v>15</v>
      </c>
      <c r="C27" s="6" t="s">
        <v>274</v>
      </c>
      <c r="D27" s="6" t="s">
        <v>146</v>
      </c>
      <c r="E27" s="8"/>
      <c r="F27" s="8" t="s">
        <v>202</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milscm_2023_010.azn_202310_backup_merge_dpc_efn.sinryo_meisai_name IS '診療明細名称';</v>
      </c>
    </row>
    <row r="28" spans="1:45" s="25" customFormat="1" ht="37.5">
      <c r="A28" s="4"/>
      <c r="B28" s="21">
        <f t="shared" si="2"/>
        <v>16</v>
      </c>
      <c r="C28" s="6" t="s">
        <v>275</v>
      </c>
      <c r="D28" s="6" t="s">
        <v>129</v>
      </c>
      <c r="E28" s="8"/>
      <c r="F28" s="8" t="s">
        <v>226</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milscm_2023_010.azn_202310_backup_merge_dpc_efn.shiyoryo IS '使用量';</v>
      </c>
    </row>
    <row r="29" spans="1:45" s="25" customFormat="1">
      <c r="A29" s="4"/>
      <c r="B29" s="21">
        <f t="shared" si="2"/>
        <v>17</v>
      </c>
      <c r="C29" s="6" t="s">
        <v>276</v>
      </c>
      <c r="D29" s="6" t="s">
        <v>277</v>
      </c>
      <c r="E29" s="8"/>
      <c r="F29" s="8" t="s">
        <v>202</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milscm_2023_010.azn_202310_backup_merge_dpc_efn.unit IS '基準単位';</v>
      </c>
    </row>
    <row r="30" spans="1:45" s="25" customFormat="1">
      <c r="A30" s="4"/>
      <c r="B30" s="21">
        <f t="shared" si="2"/>
        <v>18</v>
      </c>
      <c r="C30" s="6" t="s">
        <v>278</v>
      </c>
      <c r="D30" s="6" t="s">
        <v>130</v>
      </c>
      <c r="E30" s="8"/>
      <c r="F30" s="8" t="s">
        <v>226</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milscm_2023_010.azn_202310_backup_merge_dpc_efn.meisai_tensu IS '明細点数・金額';</v>
      </c>
    </row>
    <row r="31" spans="1:45" s="25" customFormat="1">
      <c r="A31" s="4"/>
      <c r="B31" s="21">
        <f t="shared" si="2"/>
        <v>19</v>
      </c>
      <c r="C31" s="6" t="s">
        <v>279</v>
      </c>
      <c r="D31" s="6" t="s">
        <v>131</v>
      </c>
      <c r="E31" s="8"/>
      <c r="F31" s="8" t="s">
        <v>202</v>
      </c>
      <c r="G31" s="7" t="str">
        <f t="shared" si="3"/>
        <v>text</v>
      </c>
      <c r="H31" s="9"/>
      <c r="I31" s="10"/>
      <c r="J31" s="53"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milscm_2023_010.azn_202310_backup_merge_dpc_efn.ten_kubun IS '円・点区分';</v>
      </c>
    </row>
    <row r="32" spans="1:45" s="25" customFormat="1">
      <c r="A32" s="4"/>
      <c r="B32" s="21">
        <f t="shared" si="2"/>
        <v>20</v>
      </c>
      <c r="C32" s="6" t="s">
        <v>280</v>
      </c>
      <c r="D32" s="6" t="s">
        <v>281</v>
      </c>
      <c r="E32" s="8"/>
      <c r="F32" s="8" t="s">
        <v>226</v>
      </c>
      <c r="G32" s="7" t="str">
        <f t="shared" si="3"/>
        <v>numeric</v>
      </c>
      <c r="H32" s="9"/>
      <c r="I32" s="10"/>
      <c r="J32" s="53"/>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milscm_2023_010.azn_202310_backup_merge_dpc_efn.dekidaka_tensu IS '出来高実績点数';</v>
      </c>
    </row>
    <row r="33" spans="1:47" s="25" customFormat="1" ht="56.25">
      <c r="A33" s="4"/>
      <c r="B33" s="21">
        <f t="shared" si="2"/>
        <v>21</v>
      </c>
      <c r="C33" s="6" t="s">
        <v>282</v>
      </c>
      <c r="D33" s="6" t="s">
        <v>132</v>
      </c>
      <c r="E33" s="8"/>
      <c r="F33" s="8" t="s">
        <v>202</v>
      </c>
      <c r="G33" s="7" t="str">
        <f t="shared" si="3"/>
        <v>text</v>
      </c>
      <c r="H33" s="9"/>
      <c r="I33" s="10"/>
      <c r="J33" s="53" t="s">
        <v>299</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milscm_2023_010.azn_202310_backup_merge_dpc_efn.koi_meisai_kubun IS '行為明細区分情報';</v>
      </c>
    </row>
    <row r="34" spans="1:47" s="25" customFormat="1" ht="56.25">
      <c r="A34" s="4"/>
      <c r="B34" s="21">
        <f t="shared" si="2"/>
        <v>22</v>
      </c>
      <c r="C34" s="6" t="s">
        <v>283</v>
      </c>
      <c r="D34" s="6" t="s">
        <v>225</v>
      </c>
      <c r="E34" s="8"/>
      <c r="F34" s="8" t="s">
        <v>226</v>
      </c>
      <c r="G34" s="7" t="str">
        <f t="shared" si="3"/>
        <v>numeric</v>
      </c>
      <c r="H34" s="9"/>
      <c r="I34" s="10"/>
      <c r="J34" s="53" t="s">
        <v>300</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milscm_2023_010.azn_202310_backup_merge_dpc_efn.koi_tensu IS '行為点数';</v>
      </c>
    </row>
    <row r="35" spans="1:47" s="25" customFormat="1">
      <c r="A35" s="4"/>
      <c r="B35" s="21">
        <f t="shared" si="2"/>
        <v>23</v>
      </c>
      <c r="C35" s="6" t="s">
        <v>284</v>
      </c>
      <c r="D35" s="6" t="s">
        <v>228</v>
      </c>
      <c r="E35" s="8"/>
      <c r="F35" s="8" t="s">
        <v>226</v>
      </c>
      <c r="G35" s="7" t="str">
        <f t="shared" si="3"/>
        <v>numeric</v>
      </c>
      <c r="H35" s="9"/>
      <c r="I35" s="10"/>
      <c r="J35" s="53" t="s">
        <v>301</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milscm_2023_010.azn_202310_backup_merge_dpc_efn.koi_yakuzai IS '行為薬剤料';</v>
      </c>
    </row>
    <row r="36" spans="1:47" s="25" customFormat="1">
      <c r="A36" s="4"/>
      <c r="B36" s="21">
        <f t="shared" si="2"/>
        <v>24</v>
      </c>
      <c r="C36" s="6" t="s">
        <v>285</v>
      </c>
      <c r="D36" s="6" t="s">
        <v>230</v>
      </c>
      <c r="E36" s="8"/>
      <c r="F36" s="8" t="s">
        <v>226</v>
      </c>
      <c r="G36" s="7" t="str">
        <f t="shared" si="3"/>
        <v>numeric</v>
      </c>
      <c r="H36" s="9"/>
      <c r="I36" s="10"/>
      <c r="J36" s="53" t="s">
        <v>301</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milscm_2023_010.azn_202310_backup_merge_dpc_efn.koi_zairyo IS '行為材料料';</v>
      </c>
    </row>
    <row r="37" spans="1:47" s="25" customFormat="1">
      <c r="A37" s="4"/>
      <c r="B37" s="21">
        <f t="shared" si="2"/>
        <v>25</v>
      </c>
      <c r="C37" s="6" t="s">
        <v>286</v>
      </c>
      <c r="D37" s="6" t="s">
        <v>133</v>
      </c>
      <c r="E37" s="8"/>
      <c r="F37" s="8" t="s">
        <v>226</v>
      </c>
      <c r="G37" s="7" t="str">
        <f t="shared" si="3"/>
        <v>numeric</v>
      </c>
      <c r="H37" s="9"/>
      <c r="I37" s="10"/>
      <c r="J37" s="53" t="s">
        <v>302</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milscm_2023_010.azn_202310_backup_merge_dpc_efn.koi_times IS '行為回数';</v>
      </c>
    </row>
    <row r="38" spans="1:47" s="25" customFormat="1">
      <c r="A38" s="4"/>
      <c r="B38" s="21">
        <f t="shared" si="2"/>
        <v>26</v>
      </c>
      <c r="C38" s="6" t="s">
        <v>287</v>
      </c>
      <c r="D38" s="6" t="s">
        <v>232</v>
      </c>
      <c r="E38" s="8"/>
      <c r="F38" s="8" t="s">
        <v>202</v>
      </c>
      <c r="G38" s="7" t="str">
        <f t="shared" si="3"/>
        <v>text</v>
      </c>
      <c r="H38" s="9"/>
      <c r="I38" s="10"/>
      <c r="J38" s="53"/>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milscm_2023_010.azn_202310_backup_merge_dpc_efn.hoken_no IS '保険者番号';</v>
      </c>
    </row>
    <row r="39" spans="1:47" s="25" customFormat="1">
      <c r="A39" s="4"/>
      <c r="B39" s="21">
        <f t="shared" si="2"/>
        <v>27</v>
      </c>
      <c r="C39" s="6" t="s">
        <v>288</v>
      </c>
      <c r="D39" s="6" t="s">
        <v>234</v>
      </c>
      <c r="E39" s="8"/>
      <c r="F39" s="8" t="s">
        <v>202</v>
      </c>
      <c r="G39" s="7" t="str">
        <f t="shared" si="3"/>
        <v>text</v>
      </c>
      <c r="H39" s="9"/>
      <c r="I39" s="10"/>
      <c r="J39" s="53"/>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milscm_2023_010.azn_202310_backup_merge_dpc_efn.receipt_type_code IS 'レセプト種別コード';</v>
      </c>
    </row>
    <row r="40" spans="1:47" s="25" customFormat="1">
      <c r="A40" s="4"/>
      <c r="B40" s="21">
        <f t="shared" si="2"/>
        <v>28</v>
      </c>
      <c r="C40" s="6" t="s">
        <v>289</v>
      </c>
      <c r="D40" s="6" t="s">
        <v>155</v>
      </c>
      <c r="E40" s="8"/>
      <c r="F40" s="8" t="s">
        <v>202</v>
      </c>
      <c r="G40" s="7" t="str">
        <f t="shared" si="3"/>
        <v>text</v>
      </c>
      <c r="H40" s="9"/>
      <c r="I40" s="10" t="s">
        <v>127</v>
      </c>
      <c r="J40" s="53" t="s">
        <v>144</v>
      </c>
      <c r="N40" s="78"/>
      <c r="O40" s="78"/>
      <c r="P40" s="78" t="str">
        <f t="shared" si="4"/>
        <v>,jisshi_ymd</v>
      </c>
      <c r="Q40" s="78" t="str">
        <f t="shared" si="0"/>
        <v>TEXT</v>
      </c>
      <c r="R40" s="78" t="str">
        <f t="shared" si="1"/>
        <v/>
      </c>
      <c r="S40" s="78" t="str">
        <f t="shared" si="5"/>
        <v>NOT NULL</v>
      </c>
      <c r="T40" s="78" t="str">
        <f t="shared" si="6"/>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milscm_2023_010.azn_202310_backup_merge_dpc_efn.jisshi_ymd IS '実施年月日';</v>
      </c>
    </row>
    <row r="41" spans="1:47" s="25" customFormat="1">
      <c r="A41" s="4"/>
      <c r="B41" s="21">
        <f t="shared" si="2"/>
        <v>29</v>
      </c>
      <c r="C41" s="6" t="s">
        <v>290</v>
      </c>
      <c r="D41" s="6" t="s">
        <v>236</v>
      </c>
      <c r="E41" s="8"/>
      <c r="F41" s="8" t="s">
        <v>202</v>
      </c>
      <c r="G41" s="7" t="str">
        <f t="shared" si="3"/>
        <v>text</v>
      </c>
      <c r="H41" s="9"/>
      <c r="I41" s="10"/>
      <c r="J41" s="53"/>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milscm_2023_010.azn_202310_backup_merge_dpc_efn.receipt_ka_kubun IS 'レセプト科区分';</v>
      </c>
    </row>
    <row r="42" spans="1:47" s="25" customFormat="1">
      <c r="A42" s="4"/>
      <c r="B42" s="21">
        <f t="shared" si="2"/>
        <v>30</v>
      </c>
      <c r="C42" s="6" t="s">
        <v>134</v>
      </c>
      <c r="D42" s="6" t="s">
        <v>135</v>
      </c>
      <c r="E42" s="8"/>
      <c r="F42" s="8" t="s">
        <v>202</v>
      </c>
      <c r="G42" s="7" t="str">
        <f t="shared" si="3"/>
        <v>text</v>
      </c>
      <c r="H42" s="9"/>
      <c r="I42" s="10"/>
      <c r="J42" s="53"/>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milscm_2023_010.azn_202310_backup_merge_dpc_efn.department_kubun IS '診療科区分';</v>
      </c>
    </row>
    <row r="43" spans="1:47" s="25" customFormat="1">
      <c r="A43" s="4"/>
      <c r="B43" s="21">
        <f t="shared" si="2"/>
        <v>31</v>
      </c>
      <c r="C43" s="6" t="s">
        <v>291</v>
      </c>
      <c r="D43" s="6" t="s">
        <v>238</v>
      </c>
      <c r="E43" s="8"/>
      <c r="F43" s="8" t="s">
        <v>202</v>
      </c>
      <c r="G43" s="7" t="str">
        <f t="shared" si="3"/>
        <v>text</v>
      </c>
      <c r="H43" s="9"/>
      <c r="I43" s="10"/>
      <c r="J43" s="53"/>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milscm_2023_010.azn_202310_backup_merge_dpc_efn.doctor_code IS '医師コード';</v>
      </c>
    </row>
    <row r="44" spans="1:47" s="25" customFormat="1">
      <c r="A44" s="4"/>
      <c r="B44" s="21">
        <f t="shared" si="2"/>
        <v>32</v>
      </c>
      <c r="C44" s="6" t="s">
        <v>292</v>
      </c>
      <c r="D44" s="6" t="s">
        <v>240</v>
      </c>
      <c r="E44" s="8"/>
      <c r="F44" s="8" t="s">
        <v>202</v>
      </c>
      <c r="G44" s="7" t="str">
        <f t="shared" si="3"/>
        <v>text</v>
      </c>
      <c r="H44" s="9"/>
      <c r="I44" s="10"/>
      <c r="J44" s="53"/>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milscm_2023_010.azn_202310_backup_merge_dpc_efn.ward_code IS '病棟コード';</v>
      </c>
    </row>
    <row r="45" spans="1:47" s="25" customFormat="1">
      <c r="A45" s="4"/>
      <c r="B45" s="21">
        <f t="shared" si="2"/>
        <v>33</v>
      </c>
      <c r="C45" s="6" t="s">
        <v>293</v>
      </c>
      <c r="D45" s="6" t="s">
        <v>242</v>
      </c>
      <c r="E45" s="8"/>
      <c r="F45" s="8" t="s">
        <v>202</v>
      </c>
      <c r="G45" s="7" t="str">
        <f t="shared" si="3"/>
        <v>text</v>
      </c>
      <c r="H45" s="9"/>
      <c r="I45" s="10"/>
      <c r="J45" s="53" t="s">
        <v>303</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milscm_2023_010.azn_202310_backup_merge_dpc_efn.ward_kubun IS '病棟区分';</v>
      </c>
    </row>
    <row r="46" spans="1:47" s="25" customFormat="1">
      <c r="A46" s="4"/>
      <c r="B46" s="21">
        <f t="shared" si="2"/>
        <v>34</v>
      </c>
      <c r="C46" s="6" t="s">
        <v>294</v>
      </c>
      <c r="D46" s="6" t="s">
        <v>244</v>
      </c>
      <c r="E46" s="8"/>
      <c r="F46" s="8" t="s">
        <v>202</v>
      </c>
      <c r="G46" s="7" t="str">
        <f t="shared" si="3"/>
        <v>text</v>
      </c>
      <c r="H46" s="9"/>
      <c r="I46" s="10"/>
      <c r="J46" s="53" t="s">
        <v>304</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milscm_2023_010.azn_202310_backup_merge_dpc_efn.nyugai_kubun IS '入外区分';</v>
      </c>
    </row>
    <row r="47" spans="1:47" s="25" customFormat="1" ht="19.5" thickBot="1">
      <c r="A47" s="4"/>
      <c r="B47" s="27">
        <f>ROW()-12</f>
        <v>35</v>
      </c>
      <c r="C47" s="28" t="s">
        <v>295</v>
      </c>
      <c r="D47" s="28" t="s">
        <v>246</v>
      </c>
      <c r="E47" s="29"/>
      <c r="F47" s="29" t="s">
        <v>202</v>
      </c>
      <c r="G47" s="56" t="str">
        <f t="shared" si="3"/>
        <v>text</v>
      </c>
      <c r="H47" s="30"/>
      <c r="I47" s="31"/>
      <c r="J47" s="55"/>
      <c r="N47" s="78"/>
      <c r="O47" s="78"/>
      <c r="P47" s="78" t="str">
        <f t="shared" ref="P47" si="7">IF(B47&lt;&gt;1,","&amp;D47,D47)</f>
        <v>,facility_type</v>
      </c>
      <c r="Q47" s="78" t="str">
        <f t="shared" ref="Q47" si="8">UPPER(G47)</f>
        <v>TEXT</v>
      </c>
      <c r="R47" s="78" t="str">
        <f t="shared" ref="R47" si="9">IF(H47&lt;&gt;"","default "&amp;IF(G47="text","'"&amp;H47&amp;"'",H47),"")</f>
        <v/>
      </c>
      <c r="S47" s="78" t="str">
        <f t="shared" ref="S47" si="10">IF(I47="○","NOT NULL","")</f>
        <v/>
      </c>
      <c r="T47" s="78" t="str">
        <f t="shared" ref="T47" si="11">"-- "&amp;C47</f>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milscm_2023_010.azn_202310_backup_merge_dpc_efn.facility_type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600-000000000000}"/>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codeName="Sheet9"/>
  <dimension ref="A1:AU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ENT_01_C1-03</v>
      </c>
      <c r="E6" s="239"/>
      <c r="F6" s="239"/>
      <c r="G6" s="239"/>
      <c r="H6" s="239"/>
      <c r="I6" s="239"/>
      <c r="J6" s="240"/>
    </row>
    <row r="7" spans="1:45">
      <c r="B7" s="228" t="s">
        <v>115</v>
      </c>
      <c r="C7" s="229"/>
      <c r="D7" s="230" t="s">
        <v>180</v>
      </c>
      <c r="E7" s="231"/>
      <c r="F7" s="231"/>
      <c r="G7" s="231"/>
      <c r="H7" s="231"/>
      <c r="I7" s="231"/>
      <c r="J7" s="232"/>
    </row>
    <row r="8" spans="1:45">
      <c r="B8" s="228" t="s">
        <v>116</v>
      </c>
      <c r="C8" s="229"/>
      <c r="D8" s="230" t="str">
        <f>エンティティ一覧!AE2&amp;"_"&amp;D5&amp;"_merge_dpc_efg"</f>
        <v>azn_202310_backup_merge_dpc_efg</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milscm_2023_010.azn_202310_backup_merge_dpc_efg;</v>
      </c>
      <c r="O10" s="78"/>
      <c r="P10" s="78"/>
      <c r="Q10" s="78"/>
      <c r="R10" s="78"/>
      <c r="S10" s="78"/>
      <c r="T10" s="78"/>
      <c r="AJ10" s="78" t="str">
        <f>"ALTER TABLE ONLY "&amp;エンティティ一覧!$O$2&amp;"."&amp;D$8</f>
        <v>ALTER TABLE ONLY milscm_2023_010.azn_202310_backup_merge_dpc_efg</v>
      </c>
      <c r="AS10" s="78" t="str">
        <f>"ALTER TABLE "&amp;エンティティ一覧!$O$2&amp;"."&amp;D$8&amp;" OWNER TO pgmisgrp1;"</f>
        <v>ALTER TABLE milscm_2023_010.azn_202310_backup_merge_dpc_efg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milscm_2023_010.azn_202310_backup_merge_dpc_efg</v>
      </c>
      <c r="O11" s="78"/>
      <c r="P11" s="78"/>
      <c r="Q11" s="78"/>
      <c r="R11" s="78"/>
      <c r="S11" s="78"/>
      <c r="T11" s="78"/>
      <c r="AJ11" s="78" t="str">
        <f>"ADD CONSTRAINT "&amp;D$8&amp;"_pkey PRIMARY KEY"</f>
        <v>ADD CONSTRAINT azn_202310_backup_merge_dpc_efg_pkey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milscm_2023_010.azn_202310_backup_merge_dpc_efg IS 'バックアップ_DPC調査データ_外来EF統合ファイル';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milscm_2023_010.azn_202310_backup_merge_dpc_efg.torikomi_ym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milscm_2023_010.azn_202310_backup_merge_dpc_efg.mil_karute_id IS '千年カルテID';</v>
      </c>
    </row>
    <row r="15" spans="1:45" s="25" customFormat="1" ht="37.5">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milscm_2023_010.azn_202310_backup_merge_dpc_efg.facility_id IS '施設ID';</v>
      </c>
    </row>
    <row r="16" spans="1:45" s="25" customFormat="1" ht="93.75">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milscm_2023_010.azn_202310_backup_merge_dpc_efg.shinryo_ym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milscm_2023_010.azn_202310_backup_merge_dpc_efg.data_type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milscm_2023_010.azn_202310_backup_merge_dpc_efg.shikibetsu_no IS 'データ識別番号';</v>
      </c>
    </row>
    <row r="19" spans="1:45" s="25" customFormat="1">
      <c r="B19" s="21">
        <f t="shared" si="2"/>
        <v>7</v>
      </c>
      <c r="C19" s="13" t="s">
        <v>322</v>
      </c>
      <c r="D19" s="13" t="s">
        <v>323</v>
      </c>
      <c r="E19" s="7" t="s">
        <v>127</v>
      </c>
      <c r="F19" s="7" t="s">
        <v>318</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milscm_2023_010.azn_202310_backup_merge_dpc_efg.birthday IS '生年月日';</v>
      </c>
    </row>
    <row r="20" spans="1:45" s="25" customFormat="1" ht="56.25">
      <c r="B20" s="21">
        <f t="shared" si="2"/>
        <v>8</v>
      </c>
      <c r="C20" s="6" t="s">
        <v>324</v>
      </c>
      <c r="D20" s="6" t="s">
        <v>325</v>
      </c>
      <c r="E20" s="8" t="s">
        <v>127</v>
      </c>
      <c r="F20" s="7" t="s">
        <v>318</v>
      </c>
      <c r="G20" s="7" t="str">
        <f t="shared" si="3"/>
        <v>text</v>
      </c>
      <c r="H20" s="26"/>
      <c r="I20" s="10" t="s">
        <v>127</v>
      </c>
      <c r="J20" s="11" t="s">
        <v>296</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milscm_2023_010.azn_202310_backup_merge_dpc_efg.gairai_ymd IS '外来受診年月日';</v>
      </c>
    </row>
    <row r="21" spans="1:45" s="25" customFormat="1">
      <c r="A21" s="4"/>
      <c r="B21" s="21">
        <f t="shared" si="2"/>
        <v>9</v>
      </c>
      <c r="C21" s="13" t="s">
        <v>326</v>
      </c>
      <c r="D21" s="13" t="s">
        <v>215</v>
      </c>
      <c r="E21" s="7" t="s">
        <v>127</v>
      </c>
      <c r="F21" s="7" t="s">
        <v>318</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milscm_2023_010.azn_202310_backup_merge_dpc_efg.data_kubun IS 'データ区分';</v>
      </c>
    </row>
    <row r="22" spans="1:45" s="25" customFormat="1">
      <c r="A22" s="4"/>
      <c r="B22" s="21">
        <f t="shared" si="2"/>
        <v>10</v>
      </c>
      <c r="C22" s="6" t="s">
        <v>327</v>
      </c>
      <c r="D22" s="6" t="s">
        <v>217</v>
      </c>
      <c r="E22" s="8" t="s">
        <v>127</v>
      </c>
      <c r="F22" s="7" t="s">
        <v>318</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milscm_2023_010.azn_202310_backup_merge_dpc_efg.junjo_no IS '順序番号';</v>
      </c>
    </row>
    <row r="23" spans="1:45" s="25" customFormat="1" ht="37.5">
      <c r="A23" s="4"/>
      <c r="B23" s="21">
        <f t="shared" si="2"/>
        <v>11</v>
      </c>
      <c r="C23" s="13" t="s">
        <v>328</v>
      </c>
      <c r="D23" s="13" t="s">
        <v>153</v>
      </c>
      <c r="E23" s="7" t="s">
        <v>127</v>
      </c>
      <c r="F23" s="7" t="s">
        <v>318</v>
      </c>
      <c r="G23" s="7" t="str">
        <f t="shared" si="3"/>
        <v>text</v>
      </c>
      <c r="H23" s="58"/>
      <c r="I23" s="23" t="s">
        <v>127</v>
      </c>
      <c r="J23" s="24"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milscm_2023_010.azn_202310_backup_merge_dpc_efg.koi_meisai_no IS '行為明細番号';</v>
      </c>
    </row>
    <row r="24" spans="1:45" s="25" customFormat="1">
      <c r="A24" s="4"/>
      <c r="B24" s="21">
        <f t="shared" si="2"/>
        <v>12</v>
      </c>
      <c r="C24" s="6" t="s">
        <v>329</v>
      </c>
      <c r="D24" s="6" t="s">
        <v>219</v>
      </c>
      <c r="E24" s="8"/>
      <c r="F24" s="7" t="s">
        <v>318</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milscm_2023_010.azn_202310_backup_merge_dpc_efg.tensu_master_code IS '病院点数マスタコード';</v>
      </c>
    </row>
    <row r="25" spans="1:45" s="25" customFormat="1" ht="37.5">
      <c r="A25" s="4"/>
      <c r="B25" s="21">
        <f t="shared" si="2"/>
        <v>13</v>
      </c>
      <c r="C25" s="13" t="s">
        <v>145</v>
      </c>
      <c r="D25" s="13" t="s">
        <v>154</v>
      </c>
      <c r="E25" s="7"/>
      <c r="F25" s="7" t="s">
        <v>318</v>
      </c>
      <c r="G25" s="7" t="str">
        <f t="shared" si="3"/>
        <v>text</v>
      </c>
      <c r="H25" s="58"/>
      <c r="I25" s="23"/>
      <c r="J25" s="24"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milscm_2023_010.azn_202310_backup_merge_dpc_efg.receipt_densan_code IS 'レセプト電算処理システム用コード';</v>
      </c>
    </row>
    <row r="26" spans="1:45" s="25" customFormat="1">
      <c r="A26" s="4"/>
      <c r="B26" s="21">
        <f t="shared" si="2"/>
        <v>14</v>
      </c>
      <c r="C26" s="6" t="s">
        <v>330</v>
      </c>
      <c r="D26" s="6" t="s">
        <v>221</v>
      </c>
      <c r="E26" s="8"/>
      <c r="F26" s="7" t="s">
        <v>318</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milscm_2023_010.azn_202310_backup_merge_dpc_efg.kaishaku_no IS '解釈番号';</v>
      </c>
    </row>
    <row r="27" spans="1:45" s="25" customFormat="1">
      <c r="A27" s="4"/>
      <c r="B27" s="21">
        <f t="shared" si="2"/>
        <v>15</v>
      </c>
      <c r="C27" s="6" t="s">
        <v>331</v>
      </c>
      <c r="D27" s="6" t="s">
        <v>146</v>
      </c>
      <c r="E27" s="8"/>
      <c r="F27" s="7" t="s">
        <v>318</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milscm_2023_010.azn_202310_backup_merge_dpc_efg.sinryo_meisai_name IS '診療明細名称';</v>
      </c>
    </row>
    <row r="28" spans="1:45" s="25" customFormat="1" ht="37.5">
      <c r="A28" s="4"/>
      <c r="B28" s="21">
        <f t="shared" si="2"/>
        <v>16</v>
      </c>
      <c r="C28" s="13" t="s">
        <v>332</v>
      </c>
      <c r="D28" s="13" t="s">
        <v>129</v>
      </c>
      <c r="E28" s="7"/>
      <c r="F28" s="7" t="s">
        <v>333</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milscm_2023_010.azn_202310_backup_merge_dpc_efg.shiyoryo IS '使用量';</v>
      </c>
    </row>
    <row r="29" spans="1:45" s="25" customFormat="1">
      <c r="A29" s="4"/>
      <c r="B29" s="21">
        <f t="shared" si="2"/>
        <v>17</v>
      </c>
      <c r="C29" s="6" t="s">
        <v>334</v>
      </c>
      <c r="D29" s="6" t="s">
        <v>277</v>
      </c>
      <c r="E29" s="8"/>
      <c r="F29" s="7" t="s">
        <v>318</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milscm_2023_010.azn_202310_backup_merge_dpc_efg.unit IS '基準単位';</v>
      </c>
    </row>
    <row r="30" spans="1:45" s="25" customFormat="1">
      <c r="A30" s="4"/>
      <c r="B30" s="21">
        <f t="shared" si="2"/>
        <v>18</v>
      </c>
      <c r="C30" s="13" t="s">
        <v>335</v>
      </c>
      <c r="D30" s="13" t="s">
        <v>130</v>
      </c>
      <c r="E30" s="7"/>
      <c r="F30" s="7" t="s">
        <v>333</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milscm_2023_010.azn_202310_backup_merge_dpc_efg.meisai_tensu IS '明細点数・金額';</v>
      </c>
    </row>
    <row r="31" spans="1:45" s="25" customFormat="1">
      <c r="A31" s="4"/>
      <c r="B31" s="21">
        <f t="shared" si="2"/>
        <v>19</v>
      </c>
      <c r="C31" s="6" t="s">
        <v>336</v>
      </c>
      <c r="D31" s="6" t="s">
        <v>131</v>
      </c>
      <c r="E31" s="8"/>
      <c r="F31" s="7" t="s">
        <v>318</v>
      </c>
      <c r="G31" s="7" t="str">
        <f t="shared" si="3"/>
        <v>text</v>
      </c>
      <c r="H31" s="26"/>
      <c r="I31" s="10"/>
      <c r="J31" s="11" t="s">
        <v>152</v>
      </c>
      <c r="N31" s="78"/>
      <c r="O31" s="78"/>
      <c r="P31" s="78" t="str">
        <f t="shared" si="4"/>
        <v>,ten_kubun</v>
      </c>
      <c r="Q31" s="78" t="str">
        <f t="shared" si="0"/>
        <v>TEXT</v>
      </c>
      <c r="R31" s="78" t="str">
        <f t="shared" si="1"/>
        <v/>
      </c>
      <c r="S31" s="78" t="str">
        <f t="shared" si="5"/>
        <v/>
      </c>
      <c r="T31" s="78" t="str">
        <f t="shared" si="6"/>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milscm_2023_010.azn_202310_backup_merge_dpc_efg.ten_kubun IS '円・点区分';</v>
      </c>
    </row>
    <row r="32" spans="1:45" s="25" customFormat="1">
      <c r="A32" s="4"/>
      <c r="B32" s="21">
        <f t="shared" si="2"/>
        <v>20</v>
      </c>
      <c r="C32" s="13" t="s">
        <v>337</v>
      </c>
      <c r="D32" s="13" t="s">
        <v>338</v>
      </c>
      <c r="E32" s="7"/>
      <c r="F32" s="7" t="s">
        <v>333</v>
      </c>
      <c r="G32" s="7" t="str">
        <f t="shared" si="3"/>
        <v>numeric</v>
      </c>
      <c r="H32" s="58"/>
      <c r="I32" s="23"/>
      <c r="J32" s="24"/>
      <c r="N32" s="78"/>
      <c r="O32" s="78"/>
      <c r="P32" s="78" t="str">
        <f t="shared" si="4"/>
        <v>,dekidaka_tensu</v>
      </c>
      <c r="Q32" s="78" t="str">
        <f t="shared" si="0"/>
        <v>NUMERIC</v>
      </c>
      <c r="R32" s="78" t="str">
        <f t="shared" si="1"/>
        <v/>
      </c>
      <c r="S32" s="78" t="str">
        <f t="shared" si="5"/>
        <v/>
      </c>
      <c r="T32" s="78" t="str">
        <f t="shared" si="6"/>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milscm_2023_010.azn_202310_backup_merge_dpc_efg.dekidaka_tensu IS '出来高実績点数';</v>
      </c>
    </row>
    <row r="33" spans="1:47" s="25" customFormat="1" ht="56.25">
      <c r="A33" s="4"/>
      <c r="B33" s="21">
        <f t="shared" si="2"/>
        <v>21</v>
      </c>
      <c r="C33" s="6" t="s">
        <v>339</v>
      </c>
      <c r="D33" s="6" t="s">
        <v>132</v>
      </c>
      <c r="E33" s="8"/>
      <c r="F33" s="7" t="s">
        <v>318</v>
      </c>
      <c r="G33" s="7" t="str">
        <f t="shared" si="3"/>
        <v>text</v>
      </c>
      <c r="H33" s="26"/>
      <c r="I33" s="10"/>
      <c r="J33" s="11" t="s">
        <v>936</v>
      </c>
      <c r="N33" s="78"/>
      <c r="O33" s="78"/>
      <c r="P33" s="78" t="str">
        <f t="shared" si="4"/>
        <v>,koi_meisai_kubun</v>
      </c>
      <c r="Q33" s="78" t="str">
        <f t="shared" si="0"/>
        <v>TEXT</v>
      </c>
      <c r="R33" s="78" t="str">
        <f t="shared" si="1"/>
        <v/>
      </c>
      <c r="S33" s="78" t="str">
        <f t="shared" si="5"/>
        <v/>
      </c>
      <c r="T33" s="78" t="str">
        <f t="shared" si="6"/>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milscm_2023_010.azn_202310_backup_merge_dpc_efg.koi_meisai_kubun IS '行為明細区分情報';</v>
      </c>
    </row>
    <row r="34" spans="1:47" s="25" customFormat="1" ht="56.25">
      <c r="A34" s="4"/>
      <c r="B34" s="21">
        <f t="shared" si="2"/>
        <v>22</v>
      </c>
      <c r="C34" s="13" t="s">
        <v>340</v>
      </c>
      <c r="D34" s="13" t="s">
        <v>341</v>
      </c>
      <c r="E34" s="7"/>
      <c r="F34" s="7" t="s">
        <v>333</v>
      </c>
      <c r="G34" s="7" t="str">
        <f t="shared" si="3"/>
        <v>numeric</v>
      </c>
      <c r="H34" s="58"/>
      <c r="I34" s="23"/>
      <c r="J34" s="24" t="s">
        <v>300</v>
      </c>
      <c r="N34" s="78"/>
      <c r="O34" s="78"/>
      <c r="P34" s="78" t="str">
        <f t="shared" si="4"/>
        <v>,koi_tensu</v>
      </c>
      <c r="Q34" s="78" t="str">
        <f t="shared" si="0"/>
        <v>NUMERIC</v>
      </c>
      <c r="R34" s="78" t="str">
        <f t="shared" si="1"/>
        <v/>
      </c>
      <c r="S34" s="78" t="str">
        <f t="shared" si="5"/>
        <v/>
      </c>
      <c r="T34" s="78" t="str">
        <f t="shared" si="6"/>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milscm_2023_010.azn_202310_backup_merge_dpc_efg.koi_tensu IS '行為点数';</v>
      </c>
    </row>
    <row r="35" spans="1:47" s="25" customFormat="1">
      <c r="A35" s="4"/>
      <c r="B35" s="21">
        <f t="shared" si="2"/>
        <v>23</v>
      </c>
      <c r="C35" s="6" t="s">
        <v>342</v>
      </c>
      <c r="D35" s="6" t="s">
        <v>228</v>
      </c>
      <c r="E35" s="8"/>
      <c r="F35" s="7" t="s">
        <v>333</v>
      </c>
      <c r="G35" s="7" t="str">
        <f t="shared" si="3"/>
        <v>numeric</v>
      </c>
      <c r="H35" s="26"/>
      <c r="I35" s="10"/>
      <c r="J35" s="11" t="s">
        <v>301</v>
      </c>
      <c r="N35" s="78"/>
      <c r="O35" s="78"/>
      <c r="P35" s="78" t="str">
        <f t="shared" si="4"/>
        <v>,koi_yakuzai</v>
      </c>
      <c r="Q35" s="78" t="str">
        <f t="shared" si="0"/>
        <v>NUMERIC</v>
      </c>
      <c r="R35" s="78" t="str">
        <f t="shared" si="1"/>
        <v/>
      </c>
      <c r="S35" s="78" t="str">
        <f t="shared" si="5"/>
        <v/>
      </c>
      <c r="T35" s="78" t="str">
        <f t="shared" si="6"/>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milscm_2023_010.azn_202310_backup_merge_dpc_efg.koi_yakuzai IS '行為薬剤料';</v>
      </c>
    </row>
    <row r="36" spans="1:47" s="25" customFormat="1">
      <c r="A36" s="4"/>
      <c r="B36" s="21">
        <f t="shared" si="2"/>
        <v>24</v>
      </c>
      <c r="C36" s="6" t="s">
        <v>343</v>
      </c>
      <c r="D36" s="6" t="s">
        <v>230</v>
      </c>
      <c r="E36" s="8"/>
      <c r="F36" s="7" t="s">
        <v>333</v>
      </c>
      <c r="G36" s="7" t="str">
        <f t="shared" si="3"/>
        <v>numeric</v>
      </c>
      <c r="H36" s="26"/>
      <c r="I36" s="10"/>
      <c r="J36" s="11" t="s">
        <v>301</v>
      </c>
      <c r="N36" s="78"/>
      <c r="O36" s="78"/>
      <c r="P36" s="78" t="str">
        <f t="shared" si="4"/>
        <v>,koi_zairyo</v>
      </c>
      <c r="Q36" s="78" t="str">
        <f t="shared" si="0"/>
        <v>NUMERIC</v>
      </c>
      <c r="R36" s="78" t="str">
        <f t="shared" si="1"/>
        <v/>
      </c>
      <c r="S36" s="78" t="str">
        <f t="shared" si="5"/>
        <v/>
      </c>
      <c r="T36" s="78" t="str">
        <f t="shared" si="6"/>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milscm_2023_010.azn_202310_backup_merge_dpc_efg.koi_zairyo IS '行為材料料';</v>
      </c>
    </row>
    <row r="37" spans="1:47" s="25" customFormat="1">
      <c r="A37" s="4"/>
      <c r="B37" s="21">
        <f t="shared" si="2"/>
        <v>25</v>
      </c>
      <c r="C37" s="13" t="s">
        <v>344</v>
      </c>
      <c r="D37" s="13" t="s">
        <v>133</v>
      </c>
      <c r="E37" s="7"/>
      <c r="F37" s="7" t="s">
        <v>333</v>
      </c>
      <c r="G37" s="7" t="str">
        <f t="shared" si="3"/>
        <v>numeric</v>
      </c>
      <c r="H37" s="58"/>
      <c r="I37" s="23"/>
      <c r="J37" s="24" t="s">
        <v>302</v>
      </c>
      <c r="N37" s="78"/>
      <c r="O37" s="78"/>
      <c r="P37" s="78" t="str">
        <f t="shared" si="4"/>
        <v>,koi_times</v>
      </c>
      <c r="Q37" s="78" t="str">
        <f t="shared" si="0"/>
        <v>NUMERIC</v>
      </c>
      <c r="R37" s="78" t="str">
        <f t="shared" si="1"/>
        <v/>
      </c>
      <c r="S37" s="78" t="str">
        <f t="shared" si="5"/>
        <v/>
      </c>
      <c r="T37" s="78" t="str">
        <f t="shared" si="6"/>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milscm_2023_010.azn_202310_backup_merge_dpc_efg.koi_times IS '行為回数';</v>
      </c>
    </row>
    <row r="38" spans="1:47" s="25" customFormat="1">
      <c r="A38" s="4"/>
      <c r="B38" s="21">
        <f t="shared" si="2"/>
        <v>26</v>
      </c>
      <c r="C38" s="6" t="s">
        <v>345</v>
      </c>
      <c r="D38" s="6" t="s">
        <v>232</v>
      </c>
      <c r="E38" s="8"/>
      <c r="F38" s="7" t="s">
        <v>318</v>
      </c>
      <c r="G38" s="7" t="str">
        <f t="shared" si="3"/>
        <v>text</v>
      </c>
      <c r="H38" s="26"/>
      <c r="I38" s="10"/>
      <c r="J38" s="11"/>
      <c r="N38" s="78"/>
      <c r="O38" s="78"/>
      <c r="P38" s="78" t="str">
        <f t="shared" si="4"/>
        <v>,hoken_no</v>
      </c>
      <c r="Q38" s="78" t="str">
        <f t="shared" si="0"/>
        <v>TEXT</v>
      </c>
      <c r="R38" s="78" t="str">
        <f t="shared" si="1"/>
        <v/>
      </c>
      <c r="S38" s="78" t="str">
        <f t="shared" si="5"/>
        <v/>
      </c>
      <c r="T38" s="78" t="str">
        <f t="shared" si="6"/>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milscm_2023_010.azn_202310_backup_merge_dpc_efg.hoken_no IS '保険者番号';</v>
      </c>
    </row>
    <row r="39" spans="1:47" s="25" customFormat="1">
      <c r="A39" s="4"/>
      <c r="B39" s="21">
        <f t="shared" si="2"/>
        <v>27</v>
      </c>
      <c r="C39" s="13" t="s">
        <v>346</v>
      </c>
      <c r="D39" s="13" t="s">
        <v>234</v>
      </c>
      <c r="E39" s="7"/>
      <c r="F39" s="7" t="s">
        <v>318</v>
      </c>
      <c r="G39" s="7" t="str">
        <f t="shared" si="3"/>
        <v>text</v>
      </c>
      <c r="H39" s="58"/>
      <c r="I39" s="23"/>
      <c r="J39" s="24"/>
      <c r="N39" s="78"/>
      <c r="O39" s="78"/>
      <c r="P39" s="78" t="str">
        <f t="shared" si="4"/>
        <v>,receipt_type_code</v>
      </c>
      <c r="Q39" s="78" t="str">
        <f t="shared" si="0"/>
        <v>TEXT</v>
      </c>
      <c r="R39" s="78" t="str">
        <f t="shared" si="1"/>
        <v/>
      </c>
      <c r="S39" s="78" t="str">
        <f t="shared" si="5"/>
        <v/>
      </c>
      <c r="T39" s="78" t="str">
        <f t="shared" si="6"/>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milscm_2023_010.azn_202310_backup_merge_dpc_efg.receipt_type_code IS 'レセプト種別コード';</v>
      </c>
    </row>
    <row r="40" spans="1:47" s="25" customFormat="1">
      <c r="A40" s="4"/>
      <c r="B40" s="21">
        <f t="shared" si="2"/>
        <v>28</v>
      </c>
      <c r="C40" s="6" t="s">
        <v>347</v>
      </c>
      <c r="D40" s="6" t="s">
        <v>155</v>
      </c>
      <c r="E40" s="8"/>
      <c r="F40" s="7" t="s">
        <v>318</v>
      </c>
      <c r="G40" s="7" t="str">
        <f t="shared" si="3"/>
        <v>text</v>
      </c>
      <c r="H40" s="26"/>
      <c r="I40" s="10" t="s">
        <v>127</v>
      </c>
      <c r="J40" s="11" t="s">
        <v>144</v>
      </c>
      <c r="N40" s="78"/>
      <c r="O40" s="78"/>
      <c r="P40" s="78" t="str">
        <f t="shared" si="4"/>
        <v>,jisshi_ymd</v>
      </c>
      <c r="Q40" s="78" t="str">
        <f t="shared" si="0"/>
        <v>TEXT</v>
      </c>
      <c r="R40" s="78" t="str">
        <f t="shared" si="1"/>
        <v/>
      </c>
      <c r="S40" s="78" t="str">
        <f t="shared" si="5"/>
        <v>NOT NULL</v>
      </c>
      <c r="T40" s="78" t="str">
        <f t="shared" si="6"/>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milscm_2023_010.azn_202310_backup_merge_dpc_efg.jisshi_ymd IS '実施年月日・診療開始日';</v>
      </c>
    </row>
    <row r="41" spans="1:47" s="25" customFormat="1">
      <c r="A41" s="4"/>
      <c r="B41" s="21">
        <f t="shared" si="2"/>
        <v>29</v>
      </c>
      <c r="C41" s="13" t="s">
        <v>348</v>
      </c>
      <c r="D41" s="13" t="s">
        <v>236</v>
      </c>
      <c r="E41" s="7"/>
      <c r="F41" s="7" t="s">
        <v>318</v>
      </c>
      <c r="G41" s="7" t="str">
        <f t="shared" si="3"/>
        <v>text</v>
      </c>
      <c r="H41" s="58"/>
      <c r="I41" s="23"/>
      <c r="J41" s="24"/>
      <c r="N41" s="78"/>
      <c r="O41" s="78"/>
      <c r="P41" s="78" t="str">
        <f t="shared" si="4"/>
        <v>,receipt_ka_kubun</v>
      </c>
      <c r="Q41" s="78" t="str">
        <f t="shared" si="0"/>
        <v>TEXT</v>
      </c>
      <c r="R41" s="78" t="str">
        <f t="shared" si="1"/>
        <v/>
      </c>
      <c r="S41" s="78" t="str">
        <f t="shared" si="5"/>
        <v/>
      </c>
      <c r="T41" s="78" t="str">
        <f t="shared" si="6"/>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milscm_2023_010.azn_202310_backup_merge_dpc_efg.receipt_ka_kubun IS 'レセプト科区分';</v>
      </c>
    </row>
    <row r="42" spans="1:47" s="25" customFormat="1">
      <c r="A42" s="4"/>
      <c r="B42" s="21">
        <f t="shared" si="2"/>
        <v>30</v>
      </c>
      <c r="C42" s="6" t="s">
        <v>134</v>
      </c>
      <c r="D42" s="6" t="s">
        <v>135</v>
      </c>
      <c r="E42" s="8"/>
      <c r="F42" s="7" t="s">
        <v>318</v>
      </c>
      <c r="G42" s="7" t="str">
        <f t="shared" si="3"/>
        <v>text</v>
      </c>
      <c r="H42" s="26"/>
      <c r="I42" s="10"/>
      <c r="J42" s="11"/>
      <c r="N42" s="78"/>
      <c r="O42" s="78"/>
      <c r="P42" s="78" t="str">
        <f t="shared" si="4"/>
        <v>,department_kubun</v>
      </c>
      <c r="Q42" s="78" t="str">
        <f t="shared" si="0"/>
        <v>TEXT</v>
      </c>
      <c r="R42" s="78" t="str">
        <f t="shared" si="1"/>
        <v/>
      </c>
      <c r="S42" s="78" t="str">
        <f t="shared" si="5"/>
        <v/>
      </c>
      <c r="T42" s="78" t="str">
        <f t="shared" si="6"/>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milscm_2023_010.azn_202310_backup_merge_dpc_efg.department_kubun IS '診療科区分';</v>
      </c>
    </row>
    <row r="43" spans="1:47" s="25" customFormat="1">
      <c r="A43" s="4"/>
      <c r="B43" s="21">
        <f t="shared" si="2"/>
        <v>31</v>
      </c>
      <c r="C43" s="13" t="s">
        <v>349</v>
      </c>
      <c r="D43" s="13" t="s">
        <v>238</v>
      </c>
      <c r="E43" s="7"/>
      <c r="F43" s="7" t="s">
        <v>318</v>
      </c>
      <c r="G43" s="7" t="str">
        <f t="shared" si="3"/>
        <v>text</v>
      </c>
      <c r="H43" s="58"/>
      <c r="I43" s="23"/>
      <c r="J43" s="24"/>
      <c r="N43" s="78"/>
      <c r="O43" s="78"/>
      <c r="P43" s="78" t="str">
        <f t="shared" si="4"/>
        <v>,doctor_code</v>
      </c>
      <c r="Q43" s="78" t="str">
        <f t="shared" si="0"/>
        <v>TEXT</v>
      </c>
      <c r="R43" s="78" t="str">
        <f t="shared" si="1"/>
        <v/>
      </c>
      <c r="S43" s="78" t="str">
        <f t="shared" si="5"/>
        <v/>
      </c>
      <c r="T43" s="78" t="str">
        <f t="shared" si="6"/>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milscm_2023_010.azn_202310_backup_merge_dpc_efg.doctor_code IS '医師コード';</v>
      </c>
    </row>
    <row r="44" spans="1:47" s="25" customFormat="1">
      <c r="A44" s="4"/>
      <c r="B44" s="21">
        <f t="shared" si="2"/>
        <v>32</v>
      </c>
      <c r="C44" s="6" t="s">
        <v>350</v>
      </c>
      <c r="D44" s="6" t="s">
        <v>240</v>
      </c>
      <c r="E44" s="8"/>
      <c r="F44" s="7" t="s">
        <v>318</v>
      </c>
      <c r="G44" s="7" t="str">
        <f t="shared" si="3"/>
        <v>text</v>
      </c>
      <c r="H44" s="26"/>
      <c r="I44" s="10"/>
      <c r="J44" s="11"/>
      <c r="N44" s="78"/>
      <c r="O44" s="78"/>
      <c r="P44" s="78" t="str">
        <f t="shared" si="4"/>
        <v>,ward_code</v>
      </c>
      <c r="Q44" s="78" t="str">
        <f t="shared" si="0"/>
        <v>TEXT</v>
      </c>
      <c r="R44" s="78" t="str">
        <f t="shared" si="1"/>
        <v/>
      </c>
      <c r="S44" s="78" t="str">
        <f t="shared" si="5"/>
        <v/>
      </c>
      <c r="T44" s="78" t="str">
        <f t="shared" si="6"/>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milscm_2023_010.azn_202310_backup_merge_dpc_efg.ward_code IS '病棟コード';</v>
      </c>
    </row>
    <row r="45" spans="1:47" s="25" customFormat="1">
      <c r="A45" s="4"/>
      <c r="B45" s="21">
        <f t="shared" si="2"/>
        <v>33</v>
      </c>
      <c r="C45" s="13" t="s">
        <v>351</v>
      </c>
      <c r="D45" s="13" t="s">
        <v>242</v>
      </c>
      <c r="E45" s="7"/>
      <c r="F45" s="7" t="s">
        <v>318</v>
      </c>
      <c r="G45" s="7" t="str">
        <f t="shared" si="3"/>
        <v>text</v>
      </c>
      <c r="H45" s="58"/>
      <c r="I45" s="23"/>
      <c r="J45" s="24" t="s">
        <v>357</v>
      </c>
      <c r="N45" s="78"/>
      <c r="O45" s="78"/>
      <c r="P45" s="78" t="str">
        <f t="shared" si="4"/>
        <v>,ward_kubun</v>
      </c>
      <c r="Q45" s="78" t="str">
        <f t="shared" si="0"/>
        <v>TEXT</v>
      </c>
      <c r="R45" s="78" t="str">
        <f t="shared" si="1"/>
        <v/>
      </c>
      <c r="S45" s="78" t="str">
        <f t="shared" si="5"/>
        <v/>
      </c>
      <c r="T45" s="78" t="str">
        <f t="shared" si="6"/>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milscm_2023_010.azn_202310_backup_merge_dpc_efg.ward_kubun IS '病棟区分';</v>
      </c>
    </row>
    <row r="46" spans="1:47" s="25" customFormat="1">
      <c r="A46" s="4"/>
      <c r="B46" s="21">
        <f t="shared" si="2"/>
        <v>34</v>
      </c>
      <c r="C46" s="13" t="s">
        <v>352</v>
      </c>
      <c r="D46" s="13" t="s">
        <v>244</v>
      </c>
      <c r="E46" s="7"/>
      <c r="F46" s="7" t="s">
        <v>318</v>
      </c>
      <c r="G46" s="7" t="str">
        <f t="shared" si="3"/>
        <v>text</v>
      </c>
      <c r="H46" s="58"/>
      <c r="I46" s="23"/>
      <c r="J46" s="24" t="s">
        <v>304</v>
      </c>
      <c r="N46" s="78"/>
      <c r="O46" s="78"/>
      <c r="P46" s="78" t="str">
        <f t="shared" si="4"/>
        <v>,nyugai_kubun</v>
      </c>
      <c r="Q46" s="78" t="str">
        <f t="shared" si="0"/>
        <v>TEXT</v>
      </c>
      <c r="R46" s="78" t="str">
        <f t="shared" si="1"/>
        <v/>
      </c>
      <c r="S46" s="78" t="str">
        <f t="shared" si="5"/>
        <v/>
      </c>
      <c r="T46" s="78" t="str">
        <f t="shared" si="6"/>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milscm_2023_010.azn_202310_backup_merge_dpc_efg.nyugai_kubun IS '入外区分';</v>
      </c>
    </row>
    <row r="47" spans="1:47" s="25" customFormat="1" ht="19.5" thickBot="1">
      <c r="A47" s="4"/>
      <c r="B47" s="27">
        <f>ROW()-12</f>
        <v>35</v>
      </c>
      <c r="C47" s="57" t="s">
        <v>353</v>
      </c>
      <c r="D47" s="57" t="s">
        <v>246</v>
      </c>
      <c r="E47" s="56"/>
      <c r="F47" s="56" t="s">
        <v>318</v>
      </c>
      <c r="G47" s="56" t="str">
        <f t="shared" si="3"/>
        <v>text</v>
      </c>
      <c r="H47" s="59"/>
      <c r="I47" s="60"/>
      <c r="J47" s="61"/>
      <c r="N47" s="78"/>
      <c r="O47" s="78"/>
      <c r="P47" s="78" t="str">
        <f t="shared" si="4"/>
        <v>,facility_type</v>
      </c>
      <c r="Q47" s="78" t="str">
        <f t="shared" si="0"/>
        <v>TEXT</v>
      </c>
      <c r="R47" s="78" t="str">
        <f t="shared" si="1"/>
        <v/>
      </c>
      <c r="S47" s="78" t="str">
        <f t="shared" si="5"/>
        <v/>
      </c>
      <c r="T47" s="78" t="str">
        <f t="shared" si="6"/>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milscm_2023_010.azn_202310_backup_merge_dpc_efg.facility_type IS '施設タイプ';</v>
      </c>
      <c r="AT47" s="4"/>
      <c r="AU47" s="4"/>
    </row>
    <row r="48" spans="1:47">
      <c r="M48" s="25"/>
      <c r="N48" s="78" t="s">
        <v>142</v>
      </c>
      <c r="O48" s="78"/>
      <c r="P48" s="78"/>
      <c r="Q48" s="78"/>
      <c r="R48" s="78"/>
      <c r="S48" s="78"/>
      <c r="T48" s="78"/>
      <c r="V48" s="25"/>
      <c r="W48" s="25"/>
      <c r="X48" s="25"/>
      <c r="Y48" s="25"/>
      <c r="Z48" s="25"/>
      <c r="AJ48" s="78"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700-000000000000}"/>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codeName="Sheet10"/>
  <dimension ref="A1:AZ1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ENT_01_C1-04</v>
      </c>
      <c r="E6" s="239"/>
      <c r="F6" s="239"/>
      <c r="G6" s="239"/>
      <c r="H6" s="239"/>
      <c r="I6" s="239"/>
      <c r="J6" s="240"/>
    </row>
    <row r="7" spans="1:45">
      <c r="B7" s="228" t="s">
        <v>115</v>
      </c>
      <c r="C7" s="229"/>
      <c r="D7" s="230" t="s">
        <v>358</v>
      </c>
      <c r="E7" s="231"/>
      <c r="F7" s="231"/>
      <c r="G7" s="231"/>
      <c r="H7" s="231"/>
      <c r="I7" s="231"/>
      <c r="J7" s="232"/>
    </row>
    <row r="8" spans="1:45">
      <c r="B8" s="228" t="s">
        <v>116</v>
      </c>
      <c r="C8" s="229"/>
      <c r="D8" s="230" t="str">
        <f>エンティティ一覧!AE2&amp;"_"&amp;D5&amp;"_merge_dpc_hn"</f>
        <v>azn_202310_backup_merge_dpc_hn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milscm_2023_010.azn_202310_backup_merge_dpc_hn;</v>
      </c>
      <c r="O10" s="78"/>
      <c r="P10" s="78"/>
      <c r="Q10" s="78"/>
      <c r="R10" s="78"/>
      <c r="S10" s="78"/>
      <c r="T10" s="78"/>
      <c r="AJ10" s="78" t="str">
        <f>"ALTER TABLE ONLY "&amp;エンティティ一覧!$O$2&amp;"."&amp;D$8</f>
        <v>ALTER TABLE ONLY milscm_2023_010.azn_202310_backup_merge_dpc_hn</v>
      </c>
      <c r="AS10" s="78" t="str">
        <f>"ALTER TABLE "&amp;エンティティ一覧!$O$2&amp;"."&amp;D$8&amp;" OWNER TO pgmisgrp1;"</f>
        <v>ALTER TABLE milscm_2023_010.azn_202310_backup_merge_dpc_hn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milscm_2023_010.azn_202310_backup_merge_dpc_hn</v>
      </c>
      <c r="O11" s="78"/>
      <c r="P11" s="78"/>
      <c r="Q11" s="78"/>
      <c r="R11" s="78"/>
      <c r="S11" s="78"/>
      <c r="T11" s="78"/>
      <c r="AJ11" s="78" t="str">
        <f>"ADD CONSTRAINT "&amp;D$8&amp;"_pkey PRIMARY KEY"</f>
        <v>ADD CONSTRAINT azn_202310_backup_merge_dpc_hn_pkey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milscm_2023_010.azn_202310_backup_merge_dpc_hn IS 'バックアップ_DPC調査データ_Hファイル';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milscm_2023_010.azn_202310_backup_merge_dpc_hn.torikomi_ym IS '取込年月';</v>
      </c>
    </row>
    <row r="14" spans="1:45" s="25" customFormat="1">
      <c r="A14" s="4"/>
      <c r="B14" s="21">
        <f t="shared" ref="B14:B152" si="2">ROW()-12</f>
        <v>2</v>
      </c>
      <c r="C14" s="6" t="s">
        <v>203</v>
      </c>
      <c r="D14" s="6" t="s">
        <v>204</v>
      </c>
      <c r="E14" s="8"/>
      <c r="F14" s="7" t="s">
        <v>205</v>
      </c>
      <c r="G14" s="7" t="str">
        <f t="shared" ref="G14:G153"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milscm_2023_010.azn_202310_backup_merge_dpc_hn.mil_karute_id IS '千年カルテID';</v>
      </c>
    </row>
    <row r="15" spans="1:45" s="25" customFormat="1" ht="37.5">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milscm_2023_010.azn_202310_backup_merge_dpc_hn.facility_id IS '施設ID';</v>
      </c>
    </row>
    <row r="16" spans="1:45" s="25" customFormat="1" ht="93.75">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47" si="5">IF(I16="○","NOT NULL","")</f>
        <v>NOT NULL</v>
      </c>
      <c r="T16" s="78" t="str">
        <f t="shared" ref="T16:T47"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milscm_2023_010.azn_202310_backup_merge_dpc_hn.shinryo_ym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milscm_2023_010.azn_202310_backup_merge_dpc_hn.data_type IS 'データ種別';</v>
      </c>
    </row>
    <row r="18" spans="1:45" s="25" customFormat="1">
      <c r="B18" s="21">
        <f t="shared" si="2"/>
        <v>6</v>
      </c>
      <c r="C18" s="6" t="s">
        <v>350</v>
      </c>
      <c r="D18" s="6" t="s">
        <v>240</v>
      </c>
      <c r="E18" s="8" t="s">
        <v>127</v>
      </c>
      <c r="F18" s="7" t="s">
        <v>318</v>
      </c>
      <c r="G18" s="7" t="str">
        <f t="shared" si="3"/>
        <v>text</v>
      </c>
      <c r="H18" s="26"/>
      <c r="I18" s="10" t="s">
        <v>127</v>
      </c>
      <c r="J18" s="11"/>
      <c r="N18" s="78"/>
      <c r="O18" s="78"/>
      <c r="P18" s="78" t="str">
        <f t="shared" si="4"/>
        <v>,ward_code</v>
      </c>
      <c r="Q18" s="78" t="str">
        <f t="shared" si="0"/>
        <v>TEXT</v>
      </c>
      <c r="R18" s="78" t="str">
        <f t="shared" si="1"/>
        <v/>
      </c>
      <c r="S18" s="78" t="str">
        <f t="shared" si="5"/>
        <v>NOT NULL</v>
      </c>
      <c r="T18" s="78" t="str">
        <f t="shared" si="6"/>
        <v>-- 病棟コード</v>
      </c>
      <c r="U18" s="4"/>
      <c r="AA18" s="4"/>
      <c r="AB18" s="4"/>
      <c r="AC18" s="4"/>
      <c r="AD18" s="4"/>
      <c r="AE18" s="4"/>
      <c r="AF18" s="4"/>
      <c r="AG18" s="4"/>
      <c r="AH18" s="4"/>
      <c r="AI18" s="4"/>
      <c r="AJ18" s="78" t="str">
        <f>IF(E18="○",IF(COUNTA(E$13:E18)=1,"",",")&amp;D18,"")</f>
        <v>,ward_code</v>
      </c>
      <c r="AK18" s="4"/>
      <c r="AL18" s="4"/>
      <c r="AM18" s="4"/>
      <c r="AN18" s="4"/>
      <c r="AO18" s="4"/>
      <c r="AP18" s="4"/>
      <c r="AQ18" s="4"/>
      <c r="AR18" s="4"/>
      <c r="AS18" s="78" t="str">
        <f>"COMMENT ON COLUMN "&amp;エンティティ一覧!$O$2&amp;"."&amp;D$8&amp;"."&amp;D18&amp;" IS '"&amp;C18&amp;"';"</f>
        <v>COMMENT ON COLUMN milscm_2023_010.azn_202310_backup_merge_dpc_hn.ward_code IS '病棟コード';</v>
      </c>
    </row>
    <row r="19" spans="1:45" s="25" customFormat="1">
      <c r="B19" s="21">
        <f t="shared" si="2"/>
        <v>7</v>
      </c>
      <c r="C19" s="13" t="s">
        <v>321</v>
      </c>
      <c r="D19" s="13" t="s">
        <v>211</v>
      </c>
      <c r="E19" s="7" t="s">
        <v>127</v>
      </c>
      <c r="F19" s="7" t="s">
        <v>318</v>
      </c>
      <c r="G19" s="7" t="str">
        <f t="shared" si="3"/>
        <v>text</v>
      </c>
      <c r="H19" s="58"/>
      <c r="I19" s="23" t="s">
        <v>127</v>
      </c>
      <c r="J19" s="24"/>
      <c r="N19" s="78"/>
      <c r="O19" s="78"/>
      <c r="P19" s="78" t="str">
        <f t="shared" si="4"/>
        <v>,shikibetsu_no</v>
      </c>
      <c r="Q19" s="78" t="str">
        <f t="shared" si="0"/>
        <v>TEXT</v>
      </c>
      <c r="R19" s="78" t="str">
        <f t="shared" si="1"/>
        <v/>
      </c>
      <c r="S19" s="78" t="str">
        <f t="shared" si="5"/>
        <v>NOT NULL</v>
      </c>
      <c r="T19" s="78" t="str">
        <f t="shared" si="6"/>
        <v>-- データ識別番号</v>
      </c>
      <c r="U19" s="4"/>
      <c r="AA19" s="4"/>
      <c r="AB19" s="4"/>
      <c r="AC19" s="4"/>
      <c r="AD19" s="4"/>
      <c r="AE19" s="4"/>
      <c r="AF19" s="4"/>
      <c r="AG19" s="4"/>
      <c r="AH19" s="4"/>
      <c r="AI19" s="4"/>
      <c r="AJ19" s="78" t="str">
        <f>IF(E19="○",IF(COUNTA(E$13:E19)=1,"",",")&amp;D19,"")</f>
        <v>,shikibetsu_no</v>
      </c>
      <c r="AK19" s="4"/>
      <c r="AL19" s="4"/>
      <c r="AM19" s="4"/>
      <c r="AN19" s="4"/>
      <c r="AO19" s="4"/>
      <c r="AP19" s="4"/>
      <c r="AQ19" s="4"/>
      <c r="AR19" s="4"/>
      <c r="AS19" s="78" t="str">
        <f>"COMMENT ON COLUMN "&amp;エンティティ一覧!$O$2&amp;"."&amp;D$8&amp;"."&amp;D19&amp;" IS '"&amp;C19&amp;"';"</f>
        <v>COMMENT ON COLUMN milscm_2023_010.azn_202310_backup_merge_dpc_hn.shikibetsu_no IS 'データ識別番号';</v>
      </c>
    </row>
    <row r="20" spans="1:45" s="25" customFormat="1" ht="37.5">
      <c r="B20" s="21">
        <f t="shared" si="2"/>
        <v>8</v>
      </c>
      <c r="C20" s="6" t="s">
        <v>212</v>
      </c>
      <c r="D20" s="6" t="s">
        <v>213</v>
      </c>
      <c r="E20" s="8" t="s">
        <v>127</v>
      </c>
      <c r="F20" s="7" t="s">
        <v>318</v>
      </c>
      <c r="G20" s="7" t="str">
        <f t="shared" si="3"/>
        <v>text</v>
      </c>
      <c r="H20" s="26"/>
      <c r="I20" s="10" t="s">
        <v>127</v>
      </c>
      <c r="J20" s="11" t="s">
        <v>262</v>
      </c>
      <c r="N20" s="78"/>
      <c r="O20" s="78"/>
      <c r="P20" s="78" t="str">
        <f t="shared" si="4"/>
        <v>,taiin_ymd</v>
      </c>
      <c r="Q20" s="78" t="str">
        <f t="shared" si="0"/>
        <v>TEXT</v>
      </c>
      <c r="R20" s="78" t="str">
        <f t="shared" si="1"/>
        <v/>
      </c>
      <c r="S20" s="78" t="str">
        <f t="shared" si="5"/>
        <v>NOT NULL</v>
      </c>
      <c r="T20" s="78" t="str">
        <f t="shared" si="6"/>
        <v>-- 退院年月日</v>
      </c>
      <c r="U20" s="4"/>
      <c r="AA20" s="4"/>
      <c r="AB20" s="4"/>
      <c r="AC20" s="4"/>
      <c r="AD20" s="4"/>
      <c r="AE20" s="4"/>
      <c r="AF20" s="4"/>
      <c r="AG20" s="4"/>
      <c r="AH20" s="4"/>
      <c r="AI20" s="4"/>
      <c r="AJ20" s="78" t="str">
        <f>IF(E20="○",IF(COUNTA(E$13:E20)=1,"",",")&amp;D20,"")</f>
        <v>,taiin_ymd</v>
      </c>
      <c r="AK20" s="4"/>
      <c r="AL20" s="4"/>
      <c r="AM20" s="4"/>
      <c r="AN20" s="4"/>
      <c r="AO20" s="4"/>
      <c r="AP20" s="4"/>
      <c r="AQ20" s="4"/>
      <c r="AR20" s="4"/>
      <c r="AS20" s="78" t="str">
        <f>"COMMENT ON COLUMN "&amp;エンティティ一覧!$O$2&amp;"."&amp;D$8&amp;"."&amp;D20&amp;" IS '"&amp;C20&amp;"';"</f>
        <v>COMMENT ON COLUMN milscm_2023_010.azn_202310_backup_merge_dpc_hn.taiin_ymd IS '退院年月日';</v>
      </c>
    </row>
    <row r="21" spans="1:45" s="25" customFormat="1">
      <c r="A21" s="4"/>
      <c r="B21" s="21">
        <f t="shared" si="2"/>
        <v>9</v>
      </c>
      <c r="C21" s="13" t="s">
        <v>143</v>
      </c>
      <c r="D21" s="13" t="s">
        <v>156</v>
      </c>
      <c r="E21" s="7" t="s">
        <v>127</v>
      </c>
      <c r="F21" s="7" t="s">
        <v>318</v>
      </c>
      <c r="G21" s="7" t="str">
        <f t="shared" si="3"/>
        <v>text</v>
      </c>
      <c r="H21" s="58"/>
      <c r="I21" s="23" t="s">
        <v>127</v>
      </c>
      <c r="J21" s="24" t="s">
        <v>144</v>
      </c>
      <c r="N21" s="78"/>
      <c r="O21" s="78"/>
      <c r="P21" s="78" t="str">
        <f t="shared" si="4"/>
        <v>,nyuin_ymd</v>
      </c>
      <c r="Q21" s="78" t="str">
        <f t="shared" si="0"/>
        <v>TEXT</v>
      </c>
      <c r="R21" s="78" t="str">
        <f t="shared" si="1"/>
        <v/>
      </c>
      <c r="S21" s="78" t="str">
        <f t="shared" si="5"/>
        <v>NOT NULL</v>
      </c>
      <c r="T21" s="78" t="str">
        <f t="shared" si="6"/>
        <v>-- 入院年月日</v>
      </c>
      <c r="U21" s="4"/>
      <c r="AA21" s="4"/>
      <c r="AB21" s="4"/>
      <c r="AC21" s="4"/>
      <c r="AD21" s="4"/>
      <c r="AE21" s="4"/>
      <c r="AF21" s="4"/>
      <c r="AG21" s="4"/>
      <c r="AH21" s="4"/>
      <c r="AI21" s="4"/>
      <c r="AJ21" s="78" t="str">
        <f>IF(E21="○",IF(COUNTA(E$13:E21)=1,"",",")&amp;D21,"")</f>
        <v>,nyuin_ymd</v>
      </c>
      <c r="AK21" s="4"/>
      <c r="AL21" s="4"/>
      <c r="AM21" s="4"/>
      <c r="AN21" s="4"/>
      <c r="AO21" s="4"/>
      <c r="AP21" s="4"/>
      <c r="AQ21" s="4"/>
      <c r="AR21" s="4"/>
      <c r="AS21" s="78" t="str">
        <f>"COMMENT ON COLUMN "&amp;エンティティ一覧!$O$2&amp;"."&amp;D$8&amp;"."&amp;D21&amp;" IS '"&amp;C21&amp;"';"</f>
        <v>COMMENT ON COLUMN milscm_2023_010.azn_202310_backup_merge_dpc_hn.nyuin_ymd IS '入院年月日';</v>
      </c>
    </row>
    <row r="22" spans="1:45" s="25" customFormat="1">
      <c r="A22" s="4"/>
      <c r="B22" s="21">
        <f t="shared" si="2"/>
        <v>10</v>
      </c>
      <c r="C22" s="6" t="s">
        <v>149</v>
      </c>
      <c r="D22" s="6" t="s">
        <v>155</v>
      </c>
      <c r="E22" s="8" t="s">
        <v>127</v>
      </c>
      <c r="F22" s="7" t="s">
        <v>318</v>
      </c>
      <c r="G22" s="7" t="str">
        <f t="shared" si="3"/>
        <v>text</v>
      </c>
      <c r="H22" s="26"/>
      <c r="I22" s="10" t="s">
        <v>127</v>
      </c>
      <c r="J22" s="11" t="s">
        <v>144</v>
      </c>
      <c r="N22" s="78"/>
      <c r="O22" s="78"/>
      <c r="P22" s="78" t="str">
        <f t="shared" si="4"/>
        <v>,jisshi_ymd</v>
      </c>
      <c r="Q22" s="78" t="str">
        <f t="shared" si="0"/>
        <v>TEXT</v>
      </c>
      <c r="R22" s="78" t="str">
        <f t="shared" si="1"/>
        <v/>
      </c>
      <c r="S22" s="78" t="str">
        <f t="shared" si="5"/>
        <v>NOT NULL</v>
      </c>
      <c r="T22" s="78" t="str">
        <f t="shared" si="6"/>
        <v>-- 実施年月日</v>
      </c>
      <c r="U22" s="4"/>
      <c r="AA22" s="4"/>
      <c r="AB22" s="4"/>
      <c r="AC22" s="4"/>
      <c r="AD22" s="4"/>
      <c r="AE22" s="4"/>
      <c r="AF22" s="4"/>
      <c r="AG22" s="4"/>
      <c r="AH22" s="4"/>
      <c r="AI22" s="4"/>
      <c r="AJ22" s="78" t="str">
        <f>IF(E22="○",IF(COUNTA(E$13:E22)=1,"",",")&amp;D22,"")</f>
        <v>,jisshi_ymd</v>
      </c>
      <c r="AK22" s="4"/>
      <c r="AL22" s="4"/>
      <c r="AM22" s="4"/>
      <c r="AN22" s="4"/>
      <c r="AO22" s="4"/>
      <c r="AP22" s="4"/>
      <c r="AQ22" s="4"/>
      <c r="AR22" s="4"/>
      <c r="AS22" s="78" t="str">
        <f>"COMMENT ON COLUMN "&amp;エンティティ一覧!$O$2&amp;"."&amp;D$8&amp;"."&amp;D22&amp;" IS '"&amp;C22&amp;"';"</f>
        <v>COMMENT ON COLUMN milscm_2023_010.azn_202310_backup_merge_dpc_hn.jisshi_ymd IS '実施年月日';</v>
      </c>
    </row>
    <row r="23" spans="1:45" s="25" customFormat="1">
      <c r="A23" s="4"/>
      <c r="B23" s="21">
        <f t="shared" si="2"/>
        <v>11</v>
      </c>
      <c r="C23" s="13" t="s">
        <v>359</v>
      </c>
      <c r="D23" s="13" t="s">
        <v>360</v>
      </c>
      <c r="E23" s="7" t="s">
        <v>127</v>
      </c>
      <c r="F23" s="7" t="s">
        <v>318</v>
      </c>
      <c r="G23" s="7" t="str">
        <f t="shared" si="3"/>
        <v>text</v>
      </c>
      <c r="H23" s="58" t="s">
        <v>540</v>
      </c>
      <c r="I23" s="23" t="s">
        <v>127</v>
      </c>
      <c r="J23" s="24" t="s">
        <v>541</v>
      </c>
      <c r="N23" s="78"/>
      <c r="O23" s="78"/>
      <c r="P23" s="78" t="str">
        <f t="shared" si="4"/>
        <v>,code</v>
      </c>
      <c r="Q23" s="78" t="str">
        <f t="shared" si="0"/>
        <v>TEXT</v>
      </c>
      <c r="R23" s="78" t="str">
        <f t="shared" si="1"/>
        <v>default 'ASS0010'</v>
      </c>
      <c r="S23" s="78" t="str">
        <f t="shared" si="5"/>
        <v>NOT NULL</v>
      </c>
      <c r="T23" s="78" t="str">
        <f t="shared" si="6"/>
        <v>-- コード</v>
      </c>
      <c r="U23" s="4"/>
      <c r="AA23" s="4"/>
      <c r="AB23" s="4"/>
      <c r="AC23" s="4"/>
      <c r="AD23" s="4"/>
      <c r="AE23" s="4"/>
      <c r="AF23" s="4"/>
      <c r="AG23" s="4"/>
      <c r="AH23" s="4"/>
      <c r="AI23" s="4"/>
      <c r="AJ23" s="78" t="str">
        <f>IF(E23="○",IF(COUNTA(E$13:E23)=1,"",",")&amp;D23,"")</f>
        <v>,code</v>
      </c>
      <c r="AK23" s="4"/>
      <c r="AL23" s="4"/>
      <c r="AM23" s="4"/>
      <c r="AN23" s="4"/>
      <c r="AO23" s="4"/>
      <c r="AP23" s="4"/>
      <c r="AQ23" s="4"/>
      <c r="AR23" s="4"/>
      <c r="AS23" s="78" t="str">
        <f>"COMMENT ON COLUMN "&amp;エンティティ一覧!$O$2&amp;"."&amp;D$8&amp;"."&amp;D23&amp;" IS '"&amp;C23&amp;"';"</f>
        <v>COMMENT ON COLUMN milscm_2023_010.azn_202310_backup_merge_dpc_hn.code IS 'コード';</v>
      </c>
    </row>
    <row r="24" spans="1:45" s="25" customFormat="1">
      <c r="A24" s="4"/>
      <c r="B24" s="21">
        <f t="shared" si="2"/>
        <v>12</v>
      </c>
      <c r="C24" s="6" t="s">
        <v>361</v>
      </c>
      <c r="D24" s="6" t="s">
        <v>362</v>
      </c>
      <c r="E24" s="8" t="s">
        <v>127</v>
      </c>
      <c r="F24" s="7" t="s">
        <v>318</v>
      </c>
      <c r="G24" s="7" t="str">
        <f t="shared" si="3"/>
        <v>text</v>
      </c>
      <c r="H24" s="26" t="s">
        <v>542</v>
      </c>
      <c r="I24" s="10" t="s">
        <v>127</v>
      </c>
      <c r="J24" s="11" t="s">
        <v>543</v>
      </c>
      <c r="N24" s="78"/>
      <c r="O24" s="78"/>
      <c r="P24" s="78" t="str">
        <f t="shared" si="4"/>
        <v>,version</v>
      </c>
      <c r="Q24" s="78" t="str">
        <f t="shared" si="0"/>
        <v>TEXT</v>
      </c>
      <c r="R24" s="78" t="str">
        <f t="shared" si="1"/>
        <v>default '20160401'</v>
      </c>
      <c r="S24" s="78" t="str">
        <f t="shared" si="5"/>
        <v>NOT NULL</v>
      </c>
      <c r="T24" s="78" t="str">
        <f t="shared" si="6"/>
        <v>-- バージョン</v>
      </c>
      <c r="U24" s="4"/>
      <c r="AA24" s="4"/>
      <c r="AB24" s="4"/>
      <c r="AC24" s="4"/>
      <c r="AD24" s="4"/>
      <c r="AE24" s="4"/>
      <c r="AF24" s="4"/>
      <c r="AG24" s="4"/>
      <c r="AH24" s="4"/>
      <c r="AI24" s="4"/>
      <c r="AJ24" s="78" t="str">
        <f>IF(E24="○",IF(COUNTA(E$13:E24)=1,"",",")&amp;D24,"")</f>
        <v>,version</v>
      </c>
      <c r="AK24" s="4"/>
      <c r="AL24" s="4"/>
      <c r="AM24" s="4"/>
      <c r="AN24" s="4"/>
      <c r="AO24" s="4"/>
      <c r="AP24" s="4"/>
      <c r="AQ24" s="4"/>
      <c r="AR24" s="4"/>
      <c r="AS24" s="78" t="str">
        <f>"COMMENT ON COLUMN "&amp;エンティティ一覧!$O$2&amp;"."&amp;D$8&amp;"."&amp;D24&amp;" IS '"&amp;C24&amp;"';"</f>
        <v>COMMENT ON COLUMN milscm_2023_010.azn_202310_backup_merge_dpc_hn.version IS 'バージョン';</v>
      </c>
    </row>
    <row r="25" spans="1:45" s="25" customFormat="1">
      <c r="A25" s="4"/>
      <c r="B25" s="21">
        <f t="shared" si="2"/>
        <v>13</v>
      </c>
      <c r="C25" s="13" t="s">
        <v>363</v>
      </c>
      <c r="D25" s="13" t="s">
        <v>364</v>
      </c>
      <c r="E25" s="7" t="s">
        <v>127</v>
      </c>
      <c r="F25" s="7" t="s">
        <v>318</v>
      </c>
      <c r="G25" s="7" t="str">
        <f t="shared" si="3"/>
        <v>text</v>
      </c>
      <c r="H25" s="58"/>
      <c r="I25" s="23" t="s">
        <v>127</v>
      </c>
      <c r="J25" s="24"/>
      <c r="N25" s="78"/>
      <c r="O25" s="78"/>
      <c r="P25" s="78" t="str">
        <f t="shared" si="4"/>
        <v>,number</v>
      </c>
      <c r="Q25" s="78" t="str">
        <f t="shared" si="0"/>
        <v>TEXT</v>
      </c>
      <c r="R25" s="78" t="str">
        <f t="shared" si="1"/>
        <v/>
      </c>
      <c r="S25" s="78" t="str">
        <f t="shared" si="5"/>
        <v>NOT NULL</v>
      </c>
      <c r="T25" s="78" t="str">
        <f t="shared" si="6"/>
        <v>-- 連番</v>
      </c>
      <c r="U25" s="4"/>
      <c r="AA25" s="4"/>
      <c r="AB25" s="4"/>
      <c r="AC25" s="4"/>
      <c r="AD25" s="4"/>
      <c r="AE25" s="4"/>
      <c r="AF25" s="4"/>
      <c r="AG25" s="4"/>
      <c r="AH25" s="4"/>
      <c r="AI25" s="4"/>
      <c r="AJ25" s="78" t="str">
        <f>IF(E25="○",IF(COUNTA(E$13:E25)=1,"",",")&amp;D25,"")</f>
        <v>,number</v>
      </c>
      <c r="AK25" s="4"/>
      <c r="AL25" s="4"/>
      <c r="AM25" s="4"/>
      <c r="AN25" s="4"/>
      <c r="AO25" s="4"/>
      <c r="AP25" s="4"/>
      <c r="AQ25" s="4"/>
      <c r="AR25" s="4"/>
      <c r="AS25" s="78" t="str">
        <f>"COMMENT ON COLUMN "&amp;エンティティ一覧!$O$2&amp;"."&amp;D$8&amp;"."&amp;D25&amp;" IS '"&amp;C25&amp;"';"</f>
        <v>COMMENT ON COLUMN milscm_2023_010.azn_202310_backup_merge_dpc_hn.number IS '連番';</v>
      </c>
    </row>
    <row r="26" spans="1:45" s="25" customFormat="1" ht="168.75">
      <c r="A26" s="4"/>
      <c r="B26" s="21">
        <f t="shared" si="2"/>
        <v>14</v>
      </c>
      <c r="C26" s="6" t="s">
        <v>365</v>
      </c>
      <c r="D26" s="6" t="s">
        <v>366</v>
      </c>
      <c r="E26" s="8"/>
      <c r="F26" s="7" t="s">
        <v>318</v>
      </c>
      <c r="G26" s="7" t="str">
        <f t="shared" si="3"/>
        <v>text</v>
      </c>
      <c r="H26" s="26"/>
      <c r="I26" s="10"/>
      <c r="J26" s="11" t="s">
        <v>544</v>
      </c>
      <c r="N26" s="78"/>
      <c r="O26" s="78"/>
      <c r="P26" s="78" t="str">
        <f t="shared" si="4"/>
        <v>,ass0010_sosho_shochi</v>
      </c>
      <c r="Q26" s="78" t="str">
        <f t="shared" si="0"/>
        <v>TEXT</v>
      </c>
      <c r="R26" s="78" t="str">
        <f t="shared" si="1"/>
        <v/>
      </c>
      <c r="S26" s="78" t="str">
        <f t="shared" si="5"/>
        <v/>
      </c>
      <c r="T26" s="78" t="str">
        <f t="shared" si="6"/>
        <v>-- 創傷処置</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milscm_2023_010.azn_202310_backup_merge_dpc_hn.ass0010_sosho_shochi IS '創傷処置';</v>
      </c>
    </row>
    <row r="27" spans="1:45" s="25" customFormat="1">
      <c r="A27" s="4"/>
      <c r="B27" s="21">
        <f t="shared" si="2"/>
        <v>15</v>
      </c>
      <c r="C27" s="6" t="s">
        <v>367</v>
      </c>
      <c r="D27" s="6" t="s">
        <v>368</v>
      </c>
      <c r="E27" s="8"/>
      <c r="F27" s="7" t="s">
        <v>318</v>
      </c>
      <c r="G27" s="7" t="str">
        <f t="shared" si="3"/>
        <v>text</v>
      </c>
      <c r="H27" s="26"/>
      <c r="I27" s="10"/>
      <c r="J27" s="11" t="s">
        <v>545</v>
      </c>
      <c r="N27" s="78"/>
      <c r="O27" s="78"/>
      <c r="P27" s="78" t="str">
        <f t="shared" si="4"/>
        <v>,ass0010_kokyu_care</v>
      </c>
      <c r="Q27" s="78" t="str">
        <f t="shared" si="0"/>
        <v>TEXT</v>
      </c>
      <c r="R27" s="78" t="str">
        <f t="shared" si="1"/>
        <v/>
      </c>
      <c r="S27" s="78" t="str">
        <f t="shared" si="5"/>
        <v/>
      </c>
      <c r="T27" s="78" t="str">
        <f t="shared" si="6"/>
        <v>-- 呼吸ケア</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milscm_2023_010.azn_202310_backup_merge_dpc_hn.ass0010_kokyu_care IS '呼吸ケア';</v>
      </c>
    </row>
    <row r="28" spans="1:45" s="25" customFormat="1">
      <c r="A28" s="4"/>
      <c r="B28" s="21">
        <f t="shared" si="2"/>
        <v>16</v>
      </c>
      <c r="C28" s="13" t="s">
        <v>369</v>
      </c>
      <c r="D28" s="13" t="s">
        <v>370</v>
      </c>
      <c r="E28" s="7"/>
      <c r="F28" s="7" t="s">
        <v>318</v>
      </c>
      <c r="G28" s="7" t="str">
        <f t="shared" si="3"/>
        <v>text</v>
      </c>
      <c r="H28" s="58"/>
      <c r="I28" s="23"/>
      <c r="J28" s="24" t="s">
        <v>545</v>
      </c>
      <c r="N28" s="78"/>
      <c r="O28" s="78"/>
      <c r="P28" s="78" t="str">
        <f t="shared" si="4"/>
        <v>,ass0010_tenteki_kanri</v>
      </c>
      <c r="Q28" s="78" t="str">
        <f t="shared" si="0"/>
        <v>TEXT</v>
      </c>
      <c r="R28" s="78" t="str">
        <f t="shared" si="1"/>
        <v/>
      </c>
      <c r="S28" s="78" t="str">
        <f t="shared" si="5"/>
        <v/>
      </c>
      <c r="T28" s="78" t="str">
        <f t="shared" si="6"/>
        <v>-- 点滴ライン同時3本以上の管理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milscm_2023_010.azn_202310_backup_merge_dpc_hn.ass0010_tenteki_kanri IS '点滴ライン同時3本以上の管理';</v>
      </c>
    </row>
    <row r="29" spans="1:45" s="25" customFormat="1">
      <c r="A29" s="4"/>
      <c r="B29" s="21">
        <f t="shared" si="2"/>
        <v>17</v>
      </c>
      <c r="C29" s="6" t="s">
        <v>371</v>
      </c>
      <c r="D29" s="6" t="s">
        <v>372</v>
      </c>
      <c r="E29" s="8"/>
      <c r="F29" s="7" t="s">
        <v>318</v>
      </c>
      <c r="G29" s="7" t="str">
        <f t="shared" si="3"/>
        <v>text</v>
      </c>
      <c r="H29" s="26"/>
      <c r="I29" s="10"/>
      <c r="J29" s="11" t="s">
        <v>545</v>
      </c>
      <c r="N29" s="78"/>
      <c r="O29" s="78"/>
      <c r="P29" s="78" t="str">
        <f t="shared" si="4"/>
        <v>,ass0010_shindenzu_kanri</v>
      </c>
      <c r="Q29" s="78" t="str">
        <f t="shared" si="0"/>
        <v>TEXT</v>
      </c>
      <c r="R29" s="78" t="str">
        <f t="shared" si="1"/>
        <v/>
      </c>
      <c r="S29" s="78" t="str">
        <f t="shared" si="5"/>
        <v/>
      </c>
      <c r="T29" s="78" t="str">
        <f t="shared" si="6"/>
        <v>-- 心電図モニターの管理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milscm_2023_010.azn_202310_backup_merge_dpc_hn.ass0010_shindenzu_kanri IS '心電図モニターの管理';</v>
      </c>
    </row>
    <row r="30" spans="1:45" s="25" customFormat="1" ht="31.5">
      <c r="A30" s="4"/>
      <c r="B30" s="21">
        <f t="shared" si="2"/>
        <v>18</v>
      </c>
      <c r="C30" s="13" t="s">
        <v>373</v>
      </c>
      <c r="D30" s="13" t="s">
        <v>374</v>
      </c>
      <c r="E30" s="7"/>
      <c r="F30" s="7" t="s">
        <v>318</v>
      </c>
      <c r="G30" s="7" t="str">
        <f t="shared" si="3"/>
        <v>text</v>
      </c>
      <c r="H30" s="58"/>
      <c r="I30" s="23"/>
      <c r="J30" s="24" t="s">
        <v>545</v>
      </c>
      <c r="N30" s="78"/>
      <c r="O30" s="78"/>
      <c r="P30" s="78" t="str">
        <f t="shared" si="4"/>
        <v>,ass0010_syringe_pump_kanri</v>
      </c>
      <c r="Q30" s="78" t="str">
        <f t="shared" si="0"/>
        <v>TEXT</v>
      </c>
      <c r="R30" s="78" t="str">
        <f t="shared" si="1"/>
        <v/>
      </c>
      <c r="S30" s="78" t="str">
        <f t="shared" si="5"/>
        <v/>
      </c>
      <c r="T30" s="78" t="str">
        <f t="shared" si="6"/>
        <v>-- シリンジポンプの管理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milscm_2023_010.azn_202310_backup_merge_dpc_hn.ass0010_syringe_pump_kanri IS 'シリンジポンプの管理';</v>
      </c>
    </row>
    <row r="31" spans="1:45" s="25" customFormat="1" ht="31.5">
      <c r="A31" s="4"/>
      <c r="B31" s="21">
        <f t="shared" si="2"/>
        <v>19</v>
      </c>
      <c r="C31" s="6" t="s">
        <v>375</v>
      </c>
      <c r="D31" s="6" t="s">
        <v>376</v>
      </c>
      <c r="E31" s="8"/>
      <c r="F31" s="7" t="s">
        <v>318</v>
      </c>
      <c r="G31" s="7" t="str">
        <f t="shared" si="3"/>
        <v>text</v>
      </c>
      <c r="H31" s="26"/>
      <c r="I31" s="10"/>
      <c r="J31" s="11" t="s">
        <v>545</v>
      </c>
      <c r="N31" s="78"/>
      <c r="O31" s="78"/>
      <c r="P31" s="78" t="str">
        <f t="shared" si="4"/>
        <v>,ass0010_blood_products_kanri</v>
      </c>
      <c r="Q31" s="78" t="str">
        <f t="shared" si="0"/>
        <v>TEXT</v>
      </c>
      <c r="R31" s="78" t="str">
        <f t="shared" si="1"/>
        <v/>
      </c>
      <c r="S31" s="78" t="str">
        <f t="shared" si="5"/>
        <v/>
      </c>
      <c r="T31" s="78" t="str">
        <f t="shared" si="6"/>
        <v>-- 輸血や血液製剤の管理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milscm_2023_010.azn_202310_backup_merge_dpc_hn.ass0010_blood_products_kanri IS '輸血や血液製剤の管理';</v>
      </c>
    </row>
    <row r="32" spans="1:45" s="25" customFormat="1" ht="281.25">
      <c r="A32" s="4"/>
      <c r="B32" s="21">
        <f t="shared" si="2"/>
        <v>20</v>
      </c>
      <c r="C32" s="13" t="s">
        <v>377</v>
      </c>
      <c r="D32" s="13" t="s">
        <v>378</v>
      </c>
      <c r="E32" s="7"/>
      <c r="F32" s="7" t="s">
        <v>318</v>
      </c>
      <c r="G32" s="7" t="str">
        <f t="shared" si="3"/>
        <v>text</v>
      </c>
      <c r="H32" s="58"/>
      <c r="I32" s="23"/>
      <c r="J32" s="24" t="s">
        <v>546</v>
      </c>
      <c r="N32" s="78"/>
      <c r="O32" s="78"/>
      <c r="P32" s="78" t="str">
        <f t="shared" si="4"/>
        <v>,ass0010_expert_chiryo</v>
      </c>
      <c r="Q32" s="78" t="str">
        <f t="shared" si="0"/>
        <v>TEXT</v>
      </c>
      <c r="R32" s="78" t="str">
        <f t="shared" si="1"/>
        <v/>
      </c>
      <c r="S32" s="78" t="str">
        <f t="shared" si="5"/>
        <v/>
      </c>
      <c r="T32" s="78" t="str">
        <f t="shared" si="6"/>
        <v>-- 専門的な治療・処置</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milscm_2023_010.azn_202310_backup_merge_dpc_hn.ass0010_expert_chiryo IS '専門的な治療・処置';</v>
      </c>
    </row>
    <row r="33" spans="1:52" s="25" customFormat="1">
      <c r="A33" s="4"/>
      <c r="B33" s="21">
        <f t="shared" si="2"/>
        <v>21</v>
      </c>
      <c r="C33" s="6" t="s">
        <v>379</v>
      </c>
      <c r="D33" s="6" t="s">
        <v>380</v>
      </c>
      <c r="E33" s="8"/>
      <c r="F33" s="7" t="s">
        <v>318</v>
      </c>
      <c r="G33" s="7" t="str">
        <f t="shared" si="3"/>
        <v>text</v>
      </c>
      <c r="H33" s="26"/>
      <c r="I33" s="10"/>
      <c r="J33" s="11" t="s">
        <v>545</v>
      </c>
      <c r="N33" s="78"/>
      <c r="O33" s="78"/>
      <c r="P33" s="78" t="str">
        <f t="shared" si="4"/>
        <v>,ass0010_hanso_nyuin_flag</v>
      </c>
      <c r="Q33" s="78" t="str">
        <f t="shared" si="0"/>
        <v>TEXT</v>
      </c>
      <c r="R33" s="78" t="str">
        <f t="shared" si="1"/>
        <v/>
      </c>
      <c r="S33" s="78" t="str">
        <f t="shared" si="5"/>
        <v/>
      </c>
      <c r="T33" s="78" t="str">
        <f t="shared" si="6"/>
        <v>-- 救急搬送後の入院</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milscm_2023_010.azn_202310_backup_merge_dpc_hn.ass0010_hanso_nyuin_flag IS '救急搬送後の入院';</v>
      </c>
    </row>
    <row r="34" spans="1:52" s="25" customFormat="1" ht="168.75">
      <c r="A34" s="4"/>
      <c r="B34" s="21">
        <f t="shared" si="2"/>
        <v>22</v>
      </c>
      <c r="C34" s="13" t="s">
        <v>365</v>
      </c>
      <c r="D34" s="13" t="s">
        <v>381</v>
      </c>
      <c r="E34" s="7"/>
      <c r="F34" s="7" t="s">
        <v>318</v>
      </c>
      <c r="G34" s="7" t="str">
        <f t="shared" si="3"/>
        <v>text</v>
      </c>
      <c r="H34" s="58"/>
      <c r="I34" s="23"/>
      <c r="J34" s="24" t="s">
        <v>544</v>
      </c>
      <c r="N34" s="78"/>
      <c r="O34" s="78"/>
      <c r="P34" s="78" t="str">
        <f t="shared" si="4"/>
        <v>,ass0011_sosho_shochi</v>
      </c>
      <c r="Q34" s="78" t="str">
        <f t="shared" si="0"/>
        <v>TEXT</v>
      </c>
      <c r="R34" s="78" t="str">
        <f t="shared" si="1"/>
        <v/>
      </c>
      <c r="S34" s="78" t="str">
        <f t="shared" si="5"/>
        <v/>
      </c>
      <c r="T34" s="78" t="str">
        <f t="shared" si="6"/>
        <v>-- 創傷処置</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milscm_2023_010.azn_202310_backup_merge_dpc_hn.ass0011_sosho_shochi IS '創傷処置';</v>
      </c>
    </row>
    <row r="35" spans="1:52" s="25" customFormat="1">
      <c r="A35" s="4"/>
      <c r="B35" s="21">
        <f t="shared" si="2"/>
        <v>23</v>
      </c>
      <c r="C35" s="6" t="s">
        <v>367</v>
      </c>
      <c r="D35" s="6" t="s">
        <v>382</v>
      </c>
      <c r="E35" s="8"/>
      <c r="F35" s="7" t="s">
        <v>318</v>
      </c>
      <c r="G35" s="7" t="str">
        <f t="shared" si="3"/>
        <v>text</v>
      </c>
      <c r="H35" s="26"/>
      <c r="I35" s="10"/>
      <c r="J35" s="11" t="s">
        <v>545</v>
      </c>
      <c r="N35" s="78"/>
      <c r="O35" s="78"/>
      <c r="P35" s="78" t="str">
        <f t="shared" si="4"/>
        <v>,ass0011_kokyu_care</v>
      </c>
      <c r="Q35" s="78" t="str">
        <f t="shared" si="0"/>
        <v>TEXT</v>
      </c>
      <c r="R35" s="78" t="str">
        <f t="shared" si="1"/>
        <v/>
      </c>
      <c r="S35" s="78" t="str">
        <f t="shared" si="5"/>
        <v/>
      </c>
      <c r="T35" s="78" t="str">
        <f t="shared" si="6"/>
        <v>-- 呼吸ケア</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milscm_2023_010.azn_202310_backup_merge_dpc_hn.ass0011_kokyu_care IS '呼吸ケア';</v>
      </c>
    </row>
    <row r="36" spans="1:52" s="25" customFormat="1">
      <c r="A36" s="4"/>
      <c r="B36" s="21">
        <f t="shared" si="2"/>
        <v>24</v>
      </c>
      <c r="C36" s="6" t="s">
        <v>369</v>
      </c>
      <c r="D36" s="6" t="s">
        <v>383</v>
      </c>
      <c r="E36" s="8"/>
      <c r="F36" s="7" t="s">
        <v>318</v>
      </c>
      <c r="G36" s="7" t="str">
        <f t="shared" si="3"/>
        <v>text</v>
      </c>
      <c r="H36" s="26"/>
      <c r="I36" s="10"/>
      <c r="J36" s="11" t="s">
        <v>545</v>
      </c>
      <c r="N36" s="78"/>
      <c r="O36" s="78"/>
      <c r="P36" s="78" t="str">
        <f t="shared" si="4"/>
        <v>,ass0011_tenteki_kanri</v>
      </c>
      <c r="Q36" s="78" t="str">
        <f t="shared" si="0"/>
        <v>TEXT</v>
      </c>
      <c r="R36" s="78" t="str">
        <f t="shared" si="1"/>
        <v/>
      </c>
      <c r="S36" s="78" t="str">
        <f t="shared" si="5"/>
        <v/>
      </c>
      <c r="T36" s="78" t="str">
        <f t="shared" si="6"/>
        <v>-- 点滴ライン同時3本以上の管理</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milscm_2023_010.azn_202310_backup_merge_dpc_hn.ass0011_tenteki_kanri IS '点滴ライン同時3本以上の管理';</v>
      </c>
    </row>
    <row r="37" spans="1:52" s="25" customFormat="1">
      <c r="A37" s="4"/>
      <c r="B37" s="21">
        <f t="shared" si="2"/>
        <v>25</v>
      </c>
      <c r="C37" s="13" t="s">
        <v>371</v>
      </c>
      <c r="D37" s="13" t="s">
        <v>384</v>
      </c>
      <c r="E37" s="7"/>
      <c r="F37" s="7" t="s">
        <v>318</v>
      </c>
      <c r="G37" s="7" t="str">
        <f t="shared" si="3"/>
        <v>text</v>
      </c>
      <c r="H37" s="58"/>
      <c r="I37" s="23"/>
      <c r="J37" s="24" t="s">
        <v>545</v>
      </c>
      <c r="N37" s="78"/>
      <c r="O37" s="78"/>
      <c r="P37" s="78" t="str">
        <f t="shared" si="4"/>
        <v>,ass0011_shindenzu_kanri</v>
      </c>
      <c r="Q37" s="78" t="str">
        <f t="shared" si="0"/>
        <v>TEXT</v>
      </c>
      <c r="R37" s="78" t="str">
        <f t="shared" si="1"/>
        <v/>
      </c>
      <c r="S37" s="78" t="str">
        <f t="shared" si="5"/>
        <v/>
      </c>
      <c r="T37" s="78" t="str">
        <f t="shared" si="6"/>
        <v>-- 心電図モニターの管理</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milscm_2023_010.azn_202310_backup_merge_dpc_hn.ass0011_shindenzu_kanri IS '心電図モニターの管理';</v>
      </c>
    </row>
    <row r="38" spans="1:52" s="25" customFormat="1" ht="31.5">
      <c r="A38" s="4"/>
      <c r="B38" s="21">
        <f t="shared" si="2"/>
        <v>26</v>
      </c>
      <c r="C38" s="6" t="s">
        <v>373</v>
      </c>
      <c r="D38" s="6" t="s">
        <v>385</v>
      </c>
      <c r="E38" s="8"/>
      <c r="F38" s="7" t="s">
        <v>318</v>
      </c>
      <c r="G38" s="7" t="str">
        <f t="shared" si="3"/>
        <v>text</v>
      </c>
      <c r="H38" s="26"/>
      <c r="I38" s="10"/>
      <c r="J38" s="11" t="s">
        <v>545</v>
      </c>
      <c r="N38" s="78"/>
      <c r="O38" s="78"/>
      <c r="P38" s="78" t="str">
        <f t="shared" si="4"/>
        <v>,ass0011_syringe_pump_kanri</v>
      </c>
      <c r="Q38" s="78" t="str">
        <f t="shared" si="0"/>
        <v>TEXT</v>
      </c>
      <c r="R38" s="78" t="str">
        <f t="shared" si="1"/>
        <v/>
      </c>
      <c r="S38" s="78" t="str">
        <f t="shared" si="5"/>
        <v/>
      </c>
      <c r="T38" s="78" t="str">
        <f t="shared" si="6"/>
        <v>-- シリンジポンプの管理</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milscm_2023_010.azn_202310_backup_merge_dpc_hn.ass0011_syringe_pump_kanri IS 'シリンジポンプの管理';</v>
      </c>
    </row>
    <row r="39" spans="1:52" s="25" customFormat="1" ht="31.5">
      <c r="A39" s="4"/>
      <c r="B39" s="21">
        <f t="shared" si="2"/>
        <v>27</v>
      </c>
      <c r="C39" s="13" t="s">
        <v>375</v>
      </c>
      <c r="D39" s="13" t="s">
        <v>386</v>
      </c>
      <c r="E39" s="7"/>
      <c r="F39" s="7" t="s">
        <v>318</v>
      </c>
      <c r="G39" s="7" t="str">
        <f t="shared" si="3"/>
        <v>text</v>
      </c>
      <c r="H39" s="58"/>
      <c r="I39" s="23"/>
      <c r="J39" s="24" t="s">
        <v>545</v>
      </c>
      <c r="N39" s="78"/>
      <c r="O39" s="78"/>
      <c r="P39" s="78" t="str">
        <f t="shared" si="4"/>
        <v>,ass0011_blood_products_kanri</v>
      </c>
      <c r="Q39" s="78" t="str">
        <f t="shared" si="0"/>
        <v>TEXT</v>
      </c>
      <c r="R39" s="78" t="str">
        <f t="shared" si="1"/>
        <v/>
      </c>
      <c r="S39" s="78" t="str">
        <f t="shared" si="5"/>
        <v/>
      </c>
      <c r="T39" s="78" t="str">
        <f t="shared" si="6"/>
        <v>-- 輸血や血液製剤の管理</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milscm_2023_010.azn_202310_backup_merge_dpc_hn.ass0011_blood_products_kanri IS '輸血や血液製剤の管理';</v>
      </c>
    </row>
    <row r="40" spans="1:52" s="25" customFormat="1" ht="150">
      <c r="A40" s="4"/>
      <c r="B40" s="21">
        <f t="shared" si="2"/>
        <v>28</v>
      </c>
      <c r="C40" s="6" t="s">
        <v>387</v>
      </c>
      <c r="D40" s="6" t="s">
        <v>388</v>
      </c>
      <c r="E40" s="8"/>
      <c r="F40" s="7" t="s">
        <v>318</v>
      </c>
      <c r="G40" s="7" t="str">
        <f t="shared" si="3"/>
        <v>text</v>
      </c>
      <c r="H40" s="26"/>
      <c r="I40" s="10"/>
      <c r="J40" s="11" t="s">
        <v>547</v>
      </c>
      <c r="N40" s="78"/>
      <c r="O40" s="78"/>
      <c r="P40" s="78" t="str">
        <f t="shared" si="4"/>
        <v>,ass0011_expert_chiryo_sankoumoku</v>
      </c>
      <c r="Q40" s="78" t="str">
        <f t="shared" si="0"/>
        <v>TEXT</v>
      </c>
      <c r="R40" s="78" t="str">
        <f t="shared" si="1"/>
        <v/>
      </c>
      <c r="S40" s="78" t="str">
        <f t="shared" si="5"/>
        <v/>
      </c>
      <c r="T40" s="78" t="str">
        <f t="shared" si="6"/>
        <v>-- 専門的な治療・処置（3項目）</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milscm_2023_010.azn_202310_backup_merge_dpc_hn.ass0011_expert_chiryo_sankoumoku IS '専門的な治療・処置（3項目）';</v>
      </c>
    </row>
    <row r="41" spans="1:52" s="25" customFormat="1">
      <c r="A41" s="4"/>
      <c r="B41" s="21">
        <f t="shared" si="2"/>
        <v>29</v>
      </c>
      <c r="C41" s="13" t="s">
        <v>379</v>
      </c>
      <c r="D41" s="13" t="s">
        <v>389</v>
      </c>
      <c r="E41" s="7"/>
      <c r="F41" s="7" t="s">
        <v>318</v>
      </c>
      <c r="G41" s="7" t="str">
        <f t="shared" si="3"/>
        <v>text</v>
      </c>
      <c r="H41" s="58"/>
      <c r="I41" s="23"/>
      <c r="J41" s="24" t="s">
        <v>545</v>
      </c>
      <c r="N41" s="78"/>
      <c r="O41" s="78"/>
      <c r="P41" s="78" t="str">
        <f t="shared" si="4"/>
        <v>,ass0011_hanso_nyuin_flag</v>
      </c>
      <c r="Q41" s="78" t="str">
        <f t="shared" si="0"/>
        <v>TEXT</v>
      </c>
      <c r="R41" s="78" t="str">
        <f t="shared" si="1"/>
        <v/>
      </c>
      <c r="S41" s="78" t="str">
        <f t="shared" si="5"/>
        <v/>
      </c>
      <c r="T41" s="78" t="str">
        <f t="shared" si="6"/>
        <v>-- 救急搬送後の入院</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milscm_2023_010.azn_202310_backup_merge_dpc_hn.ass0011_hanso_nyuin_flag IS '救急搬送後の入院';</v>
      </c>
    </row>
    <row r="42" spans="1:52" s="25" customFormat="1" ht="168.75">
      <c r="A42" s="4"/>
      <c r="B42" s="21">
        <f t="shared" si="2"/>
        <v>30</v>
      </c>
      <c r="C42" s="6" t="s">
        <v>365</v>
      </c>
      <c r="D42" s="6" t="s">
        <v>390</v>
      </c>
      <c r="E42" s="8"/>
      <c r="F42" s="7" t="s">
        <v>318</v>
      </c>
      <c r="G42" s="7" t="str">
        <f t="shared" si="3"/>
        <v>text</v>
      </c>
      <c r="H42" s="26"/>
      <c r="I42" s="10"/>
      <c r="J42" s="11" t="s">
        <v>544</v>
      </c>
      <c r="N42" s="78"/>
      <c r="O42" s="78"/>
      <c r="P42" s="78" t="str">
        <f t="shared" si="4"/>
        <v>,ass0012_sosho_shochi</v>
      </c>
      <c r="Q42" s="78" t="str">
        <f t="shared" si="0"/>
        <v>TEXT</v>
      </c>
      <c r="R42" s="78" t="str">
        <f t="shared" si="1"/>
        <v/>
      </c>
      <c r="S42" s="78" t="str">
        <f t="shared" si="5"/>
        <v/>
      </c>
      <c r="T42" s="78" t="str">
        <f t="shared" si="6"/>
        <v>-- 創傷処置</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milscm_2023_010.azn_202310_backup_merge_dpc_hn.ass0012_sosho_shochi IS '創傷処置';</v>
      </c>
    </row>
    <row r="43" spans="1:52" s="25" customFormat="1" ht="31.5">
      <c r="A43" s="4"/>
      <c r="B43" s="21">
        <f t="shared" si="2"/>
        <v>31</v>
      </c>
      <c r="C43" s="13" t="s">
        <v>391</v>
      </c>
      <c r="D43" s="13" t="s">
        <v>392</v>
      </c>
      <c r="E43" s="7"/>
      <c r="F43" s="7" t="s">
        <v>318</v>
      </c>
      <c r="G43" s="7" t="str">
        <f t="shared" si="3"/>
        <v>text</v>
      </c>
      <c r="H43" s="58"/>
      <c r="I43" s="23"/>
      <c r="J43" s="24" t="s">
        <v>545</v>
      </c>
      <c r="N43" s="78"/>
      <c r="O43" s="78"/>
      <c r="P43" s="78" t="str">
        <f t="shared" si="4"/>
        <v>,ass0012_kokyu_care_kakutan_trim</v>
      </c>
      <c r="Q43" s="78" t="str">
        <f t="shared" si="0"/>
        <v>TEXT</v>
      </c>
      <c r="R43" s="78" t="str">
        <f t="shared" si="1"/>
        <v/>
      </c>
      <c r="S43" s="78" t="str">
        <f t="shared" si="5"/>
        <v/>
      </c>
      <c r="T43" s="78" t="str">
        <f t="shared" si="6"/>
        <v>-- 呼吸ケア（喀痰吸引のみの場合を除く）</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milscm_2023_010.azn_202310_backup_merge_dpc_hn.ass0012_kokyu_care_kakutan_trim IS '呼吸ケア（喀痰吸引のみの場合を除く）';</v>
      </c>
    </row>
    <row r="44" spans="1:52" s="25" customFormat="1">
      <c r="A44" s="4"/>
      <c r="B44" s="21">
        <f t="shared" si="2"/>
        <v>32</v>
      </c>
      <c r="C44" s="6" t="s">
        <v>393</v>
      </c>
      <c r="D44" s="6" t="s">
        <v>394</v>
      </c>
      <c r="E44" s="8"/>
      <c r="F44" s="7" t="s">
        <v>318</v>
      </c>
      <c r="G44" s="7" t="str">
        <f t="shared" si="3"/>
        <v>text</v>
      </c>
      <c r="H44" s="26"/>
      <c r="I44" s="10"/>
      <c r="J44" s="11" t="s">
        <v>545</v>
      </c>
      <c r="N44" s="78"/>
      <c r="O44" s="78"/>
      <c r="P44" s="78" t="str">
        <f t="shared" si="4"/>
        <v>,ass0012_chusya_kanri</v>
      </c>
      <c r="Q44" s="78" t="str">
        <f t="shared" si="0"/>
        <v>TEXT</v>
      </c>
      <c r="R44" s="78" t="str">
        <f t="shared" si="1"/>
        <v/>
      </c>
      <c r="S44" s="78" t="str">
        <f t="shared" si="5"/>
        <v/>
      </c>
      <c r="T44" s="78" t="str">
        <f t="shared" si="6"/>
        <v>-- 注射薬剤３種類以上の管理</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milscm_2023_010.azn_202310_backup_merge_dpc_hn.ass0012_chusya_kanri IS '注射薬剤３種類以上の管理';</v>
      </c>
    </row>
    <row r="45" spans="1:52" s="25" customFormat="1" ht="31.5">
      <c r="A45" s="4"/>
      <c r="B45" s="21">
        <f t="shared" si="2"/>
        <v>33</v>
      </c>
      <c r="C45" s="13" t="s">
        <v>373</v>
      </c>
      <c r="D45" s="13" t="s">
        <v>395</v>
      </c>
      <c r="E45" s="7"/>
      <c r="F45" s="7" t="s">
        <v>318</v>
      </c>
      <c r="G45" s="7" t="str">
        <f t="shared" si="3"/>
        <v>text</v>
      </c>
      <c r="H45" s="58"/>
      <c r="I45" s="23"/>
      <c r="J45" s="24" t="s">
        <v>545</v>
      </c>
      <c r="N45" s="78"/>
      <c r="O45" s="78"/>
      <c r="P45" s="78" t="str">
        <f t="shared" si="4"/>
        <v>,ass0012_syringe_pump_kanri</v>
      </c>
      <c r="Q45" s="78" t="str">
        <f t="shared" si="0"/>
        <v>TEXT</v>
      </c>
      <c r="R45" s="78" t="str">
        <f t="shared" si="1"/>
        <v/>
      </c>
      <c r="S45" s="78" t="str">
        <f t="shared" si="5"/>
        <v/>
      </c>
      <c r="T45" s="78" t="str">
        <f t="shared" si="6"/>
        <v>-- シリンジポンプの管理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milscm_2023_010.azn_202310_backup_merge_dpc_hn.ass0012_syringe_pump_kanri IS 'シリンジポンプの管理';</v>
      </c>
    </row>
    <row r="46" spans="1:52" s="25" customFormat="1" ht="31.5">
      <c r="A46" s="4"/>
      <c r="B46" s="21">
        <f t="shared" si="2"/>
        <v>34</v>
      </c>
      <c r="C46" s="13" t="s">
        <v>375</v>
      </c>
      <c r="D46" s="13" t="s">
        <v>396</v>
      </c>
      <c r="E46" s="7"/>
      <c r="F46" s="7" t="s">
        <v>318</v>
      </c>
      <c r="G46" s="7" t="str">
        <f t="shared" si="3"/>
        <v>text</v>
      </c>
      <c r="H46" s="58"/>
      <c r="I46" s="23"/>
      <c r="J46" s="24" t="s">
        <v>545</v>
      </c>
      <c r="N46" s="78"/>
      <c r="O46" s="78"/>
      <c r="P46" s="78" t="str">
        <f t="shared" si="4"/>
        <v>,ass0012_blood_products_kanri</v>
      </c>
      <c r="Q46" s="78" t="str">
        <f t="shared" si="0"/>
        <v>TEXT</v>
      </c>
      <c r="R46" s="78" t="str">
        <f t="shared" si="1"/>
        <v/>
      </c>
      <c r="S46" s="78" t="str">
        <f t="shared" si="5"/>
        <v/>
      </c>
      <c r="T46" s="78" t="str">
        <f t="shared" si="6"/>
        <v>-- 輸血や血液製剤の管理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milscm_2023_010.azn_202310_backup_merge_dpc_hn.ass0012_blood_products_kanri IS '輸血や血液製剤の管理';</v>
      </c>
    </row>
    <row r="47" spans="1:52" s="25" customFormat="1" ht="150">
      <c r="A47" s="4"/>
      <c r="B47" s="21">
        <f t="shared" si="2"/>
        <v>35</v>
      </c>
      <c r="C47" s="13" t="s">
        <v>377</v>
      </c>
      <c r="D47" s="13" t="s">
        <v>397</v>
      </c>
      <c r="E47" s="7"/>
      <c r="F47" s="7" t="s">
        <v>318</v>
      </c>
      <c r="G47" s="7" t="str">
        <f t="shared" si="3"/>
        <v>text</v>
      </c>
      <c r="H47" s="58"/>
      <c r="I47" s="23"/>
      <c r="J47" s="24" t="s">
        <v>547</v>
      </c>
      <c r="N47" s="78"/>
      <c r="O47" s="78"/>
      <c r="P47" s="78" t="str">
        <f t="shared" si="4"/>
        <v>,ass0012_expert_chiryo</v>
      </c>
      <c r="Q47" s="78" t="str">
        <f t="shared" si="0"/>
        <v>TEXT</v>
      </c>
      <c r="R47" s="78" t="str">
        <f t="shared" si="1"/>
        <v/>
      </c>
      <c r="S47" s="78" t="str">
        <f t="shared" si="5"/>
        <v/>
      </c>
      <c r="T47" s="78" t="str">
        <f t="shared" si="6"/>
        <v>-- 専門的な治療・処置</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milscm_2023_010.azn_202310_backup_merge_dpc_hn.ass0012_expert_chiryo IS '専門的な治療・処置';</v>
      </c>
      <c r="AT47" s="4"/>
      <c r="AU47" s="4"/>
    </row>
    <row r="48" spans="1:52" s="25" customFormat="1">
      <c r="A48" s="4"/>
      <c r="B48" s="21">
        <f t="shared" si="2"/>
        <v>36</v>
      </c>
      <c r="C48" s="6" t="s">
        <v>379</v>
      </c>
      <c r="D48" s="6" t="s">
        <v>398</v>
      </c>
      <c r="E48" s="8"/>
      <c r="F48" s="7" t="s">
        <v>318</v>
      </c>
      <c r="G48" s="7" t="str">
        <f t="shared" si="3"/>
        <v>text</v>
      </c>
      <c r="H48" s="26"/>
      <c r="I48" s="10"/>
      <c r="J48" s="11" t="s">
        <v>545</v>
      </c>
      <c r="L48" s="4"/>
      <c r="N48" s="78"/>
      <c r="O48" s="78"/>
      <c r="P48" s="78" t="str">
        <f t="shared" ref="P48:P111" si="7">IF(B48&lt;&gt;1,","&amp;D48,D48)</f>
        <v>,ass0012_hanso_nyuin_flag</v>
      </c>
      <c r="Q48" s="78" t="str">
        <f t="shared" ref="Q48:Q111" si="8">UPPER(G48)</f>
        <v>TEXT</v>
      </c>
      <c r="R48" s="78" t="str">
        <f t="shared" ref="R48:R111" si="9">IF(H48&lt;&gt;"","default "&amp;IF(G48="text","'"&amp;H48&amp;"'",H48),"")</f>
        <v/>
      </c>
      <c r="S48" s="78" t="str">
        <f t="shared" ref="S48:S111" si="10">IF(I48="○","NOT NULL","")</f>
        <v/>
      </c>
      <c r="T48" s="78" t="str">
        <f t="shared" ref="T48:T111" si="11">"-- "&amp;C48</f>
        <v>-- 救急搬送後の入院</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milscm_2023_010.azn_202310_backup_merge_dpc_hn.ass0012_hanso_nyuin_flag IS '救急搬送後の入院';</v>
      </c>
      <c r="AT48" s="4"/>
      <c r="AU48" s="4"/>
      <c r="AV48" s="4"/>
      <c r="AW48" s="4"/>
      <c r="AX48" s="4"/>
      <c r="AY48" s="4"/>
      <c r="AZ48" s="4"/>
    </row>
    <row r="49" spans="1:52" s="25" customFormat="1" ht="37.5">
      <c r="A49" s="4"/>
      <c r="B49" s="21">
        <f t="shared" si="2"/>
        <v>37</v>
      </c>
      <c r="C49" s="13" t="s">
        <v>399</v>
      </c>
      <c r="D49" s="13" t="s">
        <v>400</v>
      </c>
      <c r="E49" s="7"/>
      <c r="F49" s="7" t="s">
        <v>318</v>
      </c>
      <c r="G49" s="7" t="str">
        <f t="shared" si="3"/>
        <v>text</v>
      </c>
      <c r="H49" s="58"/>
      <c r="I49" s="23"/>
      <c r="J49" s="24" t="s">
        <v>548</v>
      </c>
      <c r="L49" s="4"/>
      <c r="N49" s="78"/>
      <c r="O49" s="78"/>
      <c r="P49" s="78" t="str">
        <f t="shared" si="7"/>
        <v>,ass0020_negaeri</v>
      </c>
      <c r="Q49" s="78" t="str">
        <f t="shared" si="8"/>
        <v>TEXT</v>
      </c>
      <c r="R49" s="78" t="str">
        <f t="shared" si="9"/>
        <v/>
      </c>
      <c r="S49" s="78" t="str">
        <f t="shared" si="10"/>
        <v/>
      </c>
      <c r="T49" s="78" t="str">
        <f t="shared" si="11"/>
        <v>-- 寝返り</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milscm_2023_010.azn_202310_backup_merge_dpc_hn.ass0020_negaeri IS '寝返り';</v>
      </c>
      <c r="AT49" s="4"/>
      <c r="AU49" s="4"/>
      <c r="AV49" s="4"/>
      <c r="AW49" s="4"/>
      <c r="AX49" s="4"/>
      <c r="AY49" s="4"/>
      <c r="AZ49" s="4"/>
    </row>
    <row r="50" spans="1:52" s="25" customFormat="1">
      <c r="A50" s="4"/>
      <c r="B50" s="21">
        <f t="shared" si="2"/>
        <v>38</v>
      </c>
      <c r="C50" s="6" t="s">
        <v>401</v>
      </c>
      <c r="D50" s="6" t="s">
        <v>402</v>
      </c>
      <c r="E50" s="8"/>
      <c r="F50" s="7" t="s">
        <v>318</v>
      </c>
      <c r="G50" s="7" t="str">
        <f t="shared" si="3"/>
        <v>text</v>
      </c>
      <c r="H50" s="26"/>
      <c r="I50" s="10"/>
      <c r="J50" s="11" t="s">
        <v>549</v>
      </c>
      <c r="L50" s="4"/>
      <c r="N50" s="78"/>
      <c r="O50" s="78"/>
      <c r="P50" s="78" t="str">
        <f t="shared" si="7"/>
        <v>,ass0020_ijo</v>
      </c>
      <c r="Q50" s="78" t="str">
        <f t="shared" si="8"/>
        <v>TEXT</v>
      </c>
      <c r="R50" s="78" t="str">
        <f t="shared" si="9"/>
        <v/>
      </c>
      <c r="S50" s="78" t="str">
        <f t="shared" si="10"/>
        <v/>
      </c>
      <c r="T50" s="78" t="str">
        <f t="shared" si="11"/>
        <v>-- 移乗</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milscm_2023_010.azn_202310_backup_merge_dpc_hn.ass0020_ijo IS '移乗';</v>
      </c>
      <c r="AT50" s="4"/>
      <c r="AU50" s="4"/>
      <c r="AV50" s="4"/>
      <c r="AW50" s="4"/>
      <c r="AX50" s="4"/>
      <c r="AY50" s="4"/>
      <c r="AZ50" s="4"/>
    </row>
    <row r="51" spans="1:52" s="25" customFormat="1">
      <c r="A51" s="4"/>
      <c r="B51" s="21">
        <f t="shared" si="2"/>
        <v>39</v>
      </c>
      <c r="C51" s="13" t="s">
        <v>403</v>
      </c>
      <c r="D51" s="13" t="s">
        <v>404</v>
      </c>
      <c r="E51" s="7"/>
      <c r="F51" s="7" t="s">
        <v>318</v>
      </c>
      <c r="G51" s="7" t="str">
        <f t="shared" si="3"/>
        <v>text</v>
      </c>
      <c r="H51" s="58"/>
      <c r="I51" s="23"/>
      <c r="J51" s="24" t="s">
        <v>550</v>
      </c>
      <c r="L51" s="4"/>
      <c r="N51" s="78"/>
      <c r="O51" s="78"/>
      <c r="P51" s="78" t="str">
        <f t="shared" si="7"/>
        <v>,ass0020_koku_seiketsu</v>
      </c>
      <c r="Q51" s="78" t="str">
        <f t="shared" si="8"/>
        <v>TEXT</v>
      </c>
      <c r="R51" s="78" t="str">
        <f t="shared" si="9"/>
        <v/>
      </c>
      <c r="S51" s="78" t="str">
        <f t="shared" si="10"/>
        <v/>
      </c>
      <c r="T51" s="78" t="str">
        <f t="shared" si="11"/>
        <v>-- 口腔清潔</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milscm_2023_010.azn_202310_backup_merge_dpc_hn.ass0020_koku_seiketsu IS '口腔清潔';</v>
      </c>
      <c r="AT51" s="4"/>
      <c r="AU51" s="4"/>
      <c r="AV51" s="4"/>
      <c r="AW51" s="4"/>
      <c r="AX51" s="4"/>
      <c r="AY51" s="4"/>
      <c r="AZ51" s="4"/>
    </row>
    <row r="52" spans="1:52" s="25" customFormat="1">
      <c r="A52" s="4"/>
      <c r="B52" s="21">
        <f t="shared" si="2"/>
        <v>40</v>
      </c>
      <c r="C52" s="6" t="s">
        <v>405</v>
      </c>
      <c r="D52" s="6" t="s">
        <v>406</v>
      </c>
      <c r="E52" s="8"/>
      <c r="F52" s="7" t="s">
        <v>318</v>
      </c>
      <c r="G52" s="7" t="str">
        <f t="shared" si="3"/>
        <v>text</v>
      </c>
      <c r="H52" s="26"/>
      <c r="I52" s="10"/>
      <c r="J52" s="11" t="s">
        <v>549</v>
      </c>
      <c r="L52" s="4"/>
      <c r="N52" s="78"/>
      <c r="O52" s="78"/>
      <c r="P52" s="78" t="str">
        <f t="shared" si="7"/>
        <v>,ass0020_shokuji_sesshu</v>
      </c>
      <c r="Q52" s="78" t="str">
        <f t="shared" si="8"/>
        <v>TEXT</v>
      </c>
      <c r="R52" s="78" t="str">
        <f t="shared" si="9"/>
        <v/>
      </c>
      <c r="S52" s="78" t="str">
        <f t="shared" si="10"/>
        <v/>
      </c>
      <c r="T52" s="78" t="str">
        <f t="shared" si="11"/>
        <v>-- 食事摂取</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milscm_2023_010.azn_202310_backup_merge_dpc_hn.ass0020_shokuji_sesshu IS '食事摂取';</v>
      </c>
      <c r="AT52" s="4"/>
      <c r="AU52" s="4"/>
      <c r="AV52" s="4"/>
      <c r="AW52" s="4"/>
      <c r="AX52" s="4"/>
      <c r="AY52" s="4"/>
      <c r="AZ52" s="4"/>
    </row>
    <row r="53" spans="1:52" s="25" customFormat="1">
      <c r="A53" s="4"/>
      <c r="B53" s="21">
        <f t="shared" si="2"/>
        <v>41</v>
      </c>
      <c r="C53" s="6" t="s">
        <v>407</v>
      </c>
      <c r="D53" s="6" t="s">
        <v>408</v>
      </c>
      <c r="E53" s="8"/>
      <c r="F53" s="7" t="s">
        <v>318</v>
      </c>
      <c r="G53" s="7" t="str">
        <f t="shared" si="3"/>
        <v>text</v>
      </c>
      <c r="H53" s="26"/>
      <c r="I53" s="10"/>
      <c r="J53" s="11" t="s">
        <v>549</v>
      </c>
      <c r="L53" s="4"/>
      <c r="N53" s="78"/>
      <c r="O53" s="78"/>
      <c r="P53" s="78" t="str">
        <f t="shared" si="7"/>
        <v>,ass0020_ifuku_chakudatsu</v>
      </c>
      <c r="Q53" s="78" t="str">
        <f t="shared" si="8"/>
        <v>TEXT</v>
      </c>
      <c r="R53" s="78" t="str">
        <f t="shared" si="9"/>
        <v/>
      </c>
      <c r="S53" s="78" t="str">
        <f t="shared" si="10"/>
        <v/>
      </c>
      <c r="T53" s="78" t="str">
        <f t="shared" si="11"/>
        <v>-- 衣服の着脱</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milscm_2023_010.azn_202310_backup_merge_dpc_hn.ass0020_ifuku_chakudatsu IS '衣服の着脱';</v>
      </c>
      <c r="AT53" s="4"/>
      <c r="AU53" s="4"/>
      <c r="AV53" s="4"/>
      <c r="AW53" s="4"/>
      <c r="AX53" s="4"/>
      <c r="AY53" s="4"/>
      <c r="AZ53" s="4"/>
    </row>
    <row r="54" spans="1:52" s="25" customFormat="1">
      <c r="A54" s="4"/>
      <c r="B54" s="21">
        <f t="shared" si="2"/>
        <v>42</v>
      </c>
      <c r="C54" s="13" t="s">
        <v>409</v>
      </c>
      <c r="D54" s="13" t="s">
        <v>410</v>
      </c>
      <c r="E54" s="7"/>
      <c r="F54" s="7" t="s">
        <v>318</v>
      </c>
      <c r="G54" s="7" t="str">
        <f t="shared" si="3"/>
        <v>text</v>
      </c>
      <c r="H54" s="58"/>
      <c r="I54" s="23"/>
      <c r="J54" s="24" t="s">
        <v>551</v>
      </c>
      <c r="L54" s="4"/>
      <c r="M54" s="4"/>
      <c r="N54" s="78"/>
      <c r="O54" s="78"/>
      <c r="P54" s="78" t="str">
        <f t="shared" si="7"/>
        <v>,ass0020_shinryo_shiji</v>
      </c>
      <c r="Q54" s="78" t="str">
        <f t="shared" si="8"/>
        <v>TEXT</v>
      </c>
      <c r="R54" s="78" t="str">
        <f t="shared" si="9"/>
        <v/>
      </c>
      <c r="S54" s="78" t="str">
        <f t="shared" si="10"/>
        <v/>
      </c>
      <c r="T54" s="78" t="str">
        <f t="shared" si="11"/>
        <v>-- 診療・療養上の指示が通じる</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milscm_2023_010.azn_202310_backup_merge_dpc_hn.ass0020_shinryo_shiji IS '診療・療養上の指示が通じる';</v>
      </c>
      <c r="AT54" s="4"/>
      <c r="AU54" s="4"/>
      <c r="AV54" s="4"/>
      <c r="AW54" s="4"/>
      <c r="AX54" s="4"/>
      <c r="AY54" s="4"/>
      <c r="AZ54" s="4"/>
    </row>
    <row r="55" spans="1:52" s="25" customFormat="1">
      <c r="A55" s="4"/>
      <c r="B55" s="21">
        <f t="shared" si="2"/>
        <v>43</v>
      </c>
      <c r="C55" s="6" t="s">
        <v>411</v>
      </c>
      <c r="D55" s="6" t="s">
        <v>412</v>
      </c>
      <c r="E55" s="8"/>
      <c r="F55" s="7" t="s">
        <v>318</v>
      </c>
      <c r="G55" s="7" t="str">
        <f t="shared" si="3"/>
        <v>text</v>
      </c>
      <c r="H55" s="26"/>
      <c r="I55" s="10"/>
      <c r="J55" s="11" t="s">
        <v>552</v>
      </c>
      <c r="L55" s="4"/>
      <c r="M55" s="4"/>
      <c r="N55" s="78"/>
      <c r="O55" s="78"/>
      <c r="P55" s="78" t="str">
        <f t="shared" si="7"/>
        <v>,ass0020_kiken_kodo</v>
      </c>
      <c r="Q55" s="78" t="str">
        <f t="shared" si="8"/>
        <v>TEXT</v>
      </c>
      <c r="R55" s="78" t="str">
        <f t="shared" si="9"/>
        <v/>
      </c>
      <c r="S55" s="78" t="str">
        <f t="shared" si="10"/>
        <v/>
      </c>
      <c r="T55" s="78" t="str">
        <f t="shared" si="11"/>
        <v>-- 危険行動</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milscm_2023_010.azn_202310_backup_merge_dpc_hn.ass0020_kiken_kodo IS '危険行動';</v>
      </c>
      <c r="AT55" s="4"/>
      <c r="AU55" s="4"/>
      <c r="AV55" s="4"/>
      <c r="AW55" s="4"/>
      <c r="AX55" s="4"/>
      <c r="AY55" s="4"/>
      <c r="AZ55" s="4"/>
    </row>
    <row r="56" spans="1:52" s="25" customFormat="1" ht="37.5">
      <c r="A56" s="4"/>
      <c r="B56" s="21">
        <f t="shared" si="2"/>
        <v>44</v>
      </c>
      <c r="C56" s="13" t="s">
        <v>399</v>
      </c>
      <c r="D56" s="13" t="s">
        <v>413</v>
      </c>
      <c r="E56" s="7"/>
      <c r="F56" s="7" t="s">
        <v>318</v>
      </c>
      <c r="G56" s="7" t="str">
        <f t="shared" si="3"/>
        <v>text</v>
      </c>
      <c r="H56" s="58"/>
      <c r="I56" s="23"/>
      <c r="J56" s="24" t="s">
        <v>548</v>
      </c>
      <c r="L56" s="4"/>
      <c r="M56" s="4"/>
      <c r="N56" s="78"/>
      <c r="O56" s="78"/>
      <c r="P56" s="78" t="str">
        <f t="shared" si="7"/>
        <v>,ass0021_negaeri</v>
      </c>
      <c r="Q56" s="78" t="str">
        <f t="shared" si="8"/>
        <v>TEXT</v>
      </c>
      <c r="R56" s="78" t="str">
        <f t="shared" si="9"/>
        <v/>
      </c>
      <c r="S56" s="78" t="str">
        <f t="shared" si="10"/>
        <v/>
      </c>
      <c r="T56" s="78" t="str">
        <f t="shared" si="11"/>
        <v>-- 寝返り</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milscm_2023_010.azn_202310_backup_merge_dpc_hn.ass0021_negaeri IS '寝返り';</v>
      </c>
      <c r="AT56" s="4"/>
      <c r="AU56" s="4"/>
      <c r="AV56" s="4"/>
      <c r="AW56" s="4"/>
      <c r="AX56" s="4"/>
      <c r="AY56" s="4"/>
      <c r="AZ56" s="4"/>
    </row>
    <row r="57" spans="1:52" s="25" customFormat="1">
      <c r="A57" s="4"/>
      <c r="B57" s="21">
        <f t="shared" si="2"/>
        <v>45</v>
      </c>
      <c r="C57" s="6" t="s">
        <v>414</v>
      </c>
      <c r="D57" s="6" t="s">
        <v>415</v>
      </c>
      <c r="E57" s="8"/>
      <c r="F57" s="7" t="s">
        <v>318</v>
      </c>
      <c r="G57" s="7" t="str">
        <f t="shared" si="3"/>
        <v>text</v>
      </c>
      <c r="H57" s="26"/>
      <c r="I57" s="10"/>
      <c r="J57" s="11" t="s">
        <v>553</v>
      </c>
      <c r="L57" s="4"/>
      <c r="M57" s="4"/>
      <c r="N57" s="78"/>
      <c r="O57" s="78"/>
      <c r="P57" s="78" t="str">
        <f t="shared" si="7"/>
        <v>,ass0021_ijo_kanja</v>
      </c>
      <c r="Q57" s="78" t="str">
        <f t="shared" si="8"/>
        <v>TEXT</v>
      </c>
      <c r="R57" s="78" t="str">
        <f t="shared" si="9"/>
        <v/>
      </c>
      <c r="S57" s="78" t="str">
        <f t="shared" si="10"/>
        <v/>
      </c>
      <c r="T57" s="78" t="str">
        <f t="shared" si="11"/>
        <v>-- 移乗（患者の状態）</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milscm_2023_010.azn_202310_backup_merge_dpc_hn.ass0021_ijo_kanja IS '移乗（患者の状態）';</v>
      </c>
      <c r="AT57" s="4"/>
      <c r="AU57" s="4"/>
      <c r="AV57" s="4"/>
      <c r="AW57" s="4"/>
      <c r="AX57" s="4"/>
      <c r="AY57" s="4"/>
      <c r="AZ57" s="4"/>
    </row>
    <row r="58" spans="1:52" s="25" customFormat="1" ht="31.5">
      <c r="A58" s="4"/>
      <c r="B58" s="21">
        <f t="shared" si="2"/>
        <v>46</v>
      </c>
      <c r="C58" s="13" t="s">
        <v>416</v>
      </c>
      <c r="D58" s="13" t="s">
        <v>417</v>
      </c>
      <c r="E58" s="7"/>
      <c r="F58" s="7" t="s">
        <v>318</v>
      </c>
      <c r="G58" s="7" t="str">
        <f t="shared" si="3"/>
        <v>text</v>
      </c>
      <c r="H58" s="58"/>
      <c r="I58" s="23"/>
      <c r="J58" s="24" t="s">
        <v>554</v>
      </c>
      <c r="L58" s="4"/>
      <c r="M58" s="4"/>
      <c r="N58" s="78"/>
      <c r="O58" s="78"/>
      <c r="P58" s="78" t="str">
        <f t="shared" si="7"/>
        <v>,ass0021_koku_seiketsu_kanja</v>
      </c>
      <c r="Q58" s="78" t="str">
        <f t="shared" si="8"/>
        <v>TEXT</v>
      </c>
      <c r="R58" s="78" t="str">
        <f t="shared" si="9"/>
        <v/>
      </c>
      <c r="S58" s="78" t="str">
        <f t="shared" si="10"/>
        <v/>
      </c>
      <c r="T58" s="78" t="str">
        <f t="shared" si="11"/>
        <v>-- 口腔清潔（患者の状態）</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milscm_2023_010.azn_202310_backup_merge_dpc_hn.ass0021_koku_seiketsu_kanja IS '口腔清潔（患者の状態）';</v>
      </c>
      <c r="AT58" s="4"/>
      <c r="AU58" s="4"/>
      <c r="AV58" s="4"/>
      <c r="AW58" s="4"/>
      <c r="AX58" s="4"/>
      <c r="AY58" s="4"/>
      <c r="AZ58" s="4"/>
    </row>
    <row r="59" spans="1:52" s="25" customFormat="1" ht="31.5">
      <c r="A59" s="4"/>
      <c r="B59" s="21">
        <f t="shared" si="2"/>
        <v>47</v>
      </c>
      <c r="C59" s="6" t="s">
        <v>418</v>
      </c>
      <c r="D59" s="6" t="s">
        <v>419</v>
      </c>
      <c r="E59" s="8"/>
      <c r="F59" s="7" t="s">
        <v>318</v>
      </c>
      <c r="G59" s="7" t="str">
        <f t="shared" si="3"/>
        <v>text</v>
      </c>
      <c r="H59" s="26"/>
      <c r="I59" s="10"/>
      <c r="J59" s="11" t="s">
        <v>553</v>
      </c>
      <c r="L59" s="4"/>
      <c r="M59" s="4"/>
      <c r="N59" s="78"/>
      <c r="O59" s="78"/>
      <c r="P59" s="78" t="str">
        <f t="shared" si="7"/>
        <v>,ass0021_shokuji_sesshu_kanja</v>
      </c>
      <c r="Q59" s="78" t="str">
        <f t="shared" si="8"/>
        <v>TEXT</v>
      </c>
      <c r="R59" s="78" t="str">
        <f t="shared" si="9"/>
        <v/>
      </c>
      <c r="S59" s="78" t="str">
        <f t="shared" si="10"/>
        <v/>
      </c>
      <c r="T59" s="78" t="str">
        <f t="shared" si="11"/>
        <v>-- 食事摂取（患者の状態）</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milscm_2023_010.azn_202310_backup_merge_dpc_hn.ass0021_shokuji_sesshu_kanja IS '食事摂取（患者の状態）';</v>
      </c>
      <c r="AT59" s="4"/>
      <c r="AU59" s="4"/>
      <c r="AV59" s="4"/>
      <c r="AW59" s="4"/>
      <c r="AX59" s="4"/>
      <c r="AY59" s="4"/>
      <c r="AZ59" s="4"/>
    </row>
    <row r="60" spans="1:52" s="25" customFormat="1" ht="31.5">
      <c r="A60" s="4"/>
      <c r="B60" s="21">
        <f t="shared" si="2"/>
        <v>48</v>
      </c>
      <c r="C60" s="13" t="s">
        <v>420</v>
      </c>
      <c r="D60" s="13" t="s">
        <v>421</v>
      </c>
      <c r="E60" s="7"/>
      <c r="F60" s="7" t="s">
        <v>318</v>
      </c>
      <c r="G60" s="7" t="str">
        <f t="shared" si="3"/>
        <v>text</v>
      </c>
      <c r="H60" s="58"/>
      <c r="I60" s="23"/>
      <c r="J60" s="24" t="s">
        <v>553</v>
      </c>
      <c r="L60" s="4"/>
      <c r="M60" s="4"/>
      <c r="N60" s="78"/>
      <c r="O60" s="78"/>
      <c r="P60" s="78" t="str">
        <f t="shared" si="7"/>
        <v>,ass0021_ifuku_chakudatsu_kanja</v>
      </c>
      <c r="Q60" s="78" t="str">
        <f t="shared" si="8"/>
        <v>TEXT</v>
      </c>
      <c r="R60" s="78" t="str">
        <f t="shared" si="9"/>
        <v/>
      </c>
      <c r="S60" s="78" t="str">
        <f t="shared" si="10"/>
        <v/>
      </c>
      <c r="T60" s="78" t="str">
        <f t="shared" si="11"/>
        <v>-- 衣服の着脱（患者の状態）</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milscm_2023_010.azn_202310_backup_merge_dpc_hn.ass0021_ifuku_chakudatsu_kanja IS '衣服の着脱（患者の状態）';</v>
      </c>
      <c r="AT60" s="4"/>
      <c r="AU60" s="4"/>
      <c r="AV60" s="4"/>
      <c r="AW60" s="4"/>
      <c r="AX60" s="4"/>
      <c r="AY60" s="4"/>
      <c r="AZ60" s="4"/>
    </row>
    <row r="61" spans="1:52" s="25" customFormat="1">
      <c r="A61" s="4"/>
      <c r="B61" s="21">
        <f t="shared" si="2"/>
        <v>49</v>
      </c>
      <c r="C61" s="6" t="s">
        <v>409</v>
      </c>
      <c r="D61" s="6" t="s">
        <v>422</v>
      </c>
      <c r="E61" s="8"/>
      <c r="F61" s="7" t="s">
        <v>318</v>
      </c>
      <c r="G61" s="7" t="str">
        <f t="shared" si="3"/>
        <v>text</v>
      </c>
      <c r="H61" s="26"/>
      <c r="I61" s="10"/>
      <c r="J61" s="11" t="s">
        <v>551</v>
      </c>
      <c r="L61" s="4"/>
      <c r="M61" s="4"/>
      <c r="N61" s="78"/>
      <c r="O61" s="78"/>
      <c r="P61" s="78" t="str">
        <f t="shared" si="7"/>
        <v>,ass0021_shinryo_shiji</v>
      </c>
      <c r="Q61" s="78" t="str">
        <f t="shared" si="8"/>
        <v>TEXT</v>
      </c>
      <c r="R61" s="78" t="str">
        <f t="shared" si="9"/>
        <v/>
      </c>
      <c r="S61" s="78" t="str">
        <f t="shared" si="10"/>
        <v/>
      </c>
      <c r="T61" s="78" t="str">
        <f t="shared" si="11"/>
        <v>-- 診療・療養上の指示が通じる</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milscm_2023_010.azn_202310_backup_merge_dpc_hn.ass0021_shinryo_shiji IS '診療・療養上の指示が通じる';</v>
      </c>
      <c r="AT61" s="4"/>
      <c r="AU61" s="4"/>
      <c r="AV61" s="4"/>
      <c r="AW61" s="4"/>
      <c r="AX61" s="4"/>
      <c r="AY61" s="4"/>
      <c r="AZ61" s="4"/>
    </row>
    <row r="62" spans="1:52" s="25" customFormat="1">
      <c r="A62" s="4"/>
      <c r="B62" s="21">
        <f t="shared" si="2"/>
        <v>50</v>
      </c>
      <c r="C62" s="13" t="s">
        <v>411</v>
      </c>
      <c r="D62" s="13" t="s">
        <v>423</v>
      </c>
      <c r="E62" s="7"/>
      <c r="F62" s="7" t="s">
        <v>318</v>
      </c>
      <c r="G62" s="7" t="str">
        <f t="shared" si="3"/>
        <v>text</v>
      </c>
      <c r="H62" s="58"/>
      <c r="I62" s="23"/>
      <c r="J62" s="24" t="s">
        <v>552</v>
      </c>
      <c r="L62" s="4"/>
      <c r="M62" s="4"/>
      <c r="N62" s="78"/>
      <c r="O62" s="78"/>
      <c r="P62" s="78" t="str">
        <f t="shared" si="7"/>
        <v>,ass0021_kiken_kodo</v>
      </c>
      <c r="Q62" s="78" t="str">
        <f t="shared" si="8"/>
        <v>TEXT</v>
      </c>
      <c r="R62" s="78" t="str">
        <f t="shared" si="9"/>
        <v/>
      </c>
      <c r="S62" s="78" t="str">
        <f t="shared" si="10"/>
        <v/>
      </c>
      <c r="T62" s="78" t="str">
        <f t="shared" si="11"/>
        <v>-- 危険行動</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milscm_2023_010.azn_202310_backup_merge_dpc_hn.ass0021_kiken_kodo IS '危険行動';</v>
      </c>
      <c r="AT62" s="4"/>
      <c r="AU62" s="4"/>
      <c r="AV62" s="4"/>
      <c r="AW62" s="4"/>
      <c r="AX62" s="4"/>
      <c r="AY62" s="4"/>
      <c r="AZ62" s="4"/>
    </row>
    <row r="63" spans="1:52" s="25" customFormat="1">
      <c r="A63" s="4"/>
      <c r="B63" s="21">
        <f t="shared" si="2"/>
        <v>51</v>
      </c>
      <c r="C63" s="13" t="s">
        <v>424</v>
      </c>
      <c r="D63" s="13" t="s">
        <v>425</v>
      </c>
      <c r="E63" s="7"/>
      <c r="F63" s="7" t="s">
        <v>318</v>
      </c>
      <c r="G63" s="7" t="str">
        <f t="shared" si="3"/>
        <v>text</v>
      </c>
      <c r="H63" s="58"/>
      <c r="I63" s="23"/>
      <c r="J63" s="24" t="s">
        <v>555</v>
      </c>
      <c r="L63" s="4"/>
      <c r="M63" s="4"/>
      <c r="N63" s="78"/>
      <c r="O63" s="78"/>
      <c r="P63" s="78" t="str">
        <f t="shared" si="7"/>
        <v>,ass0021_ijo_kaijo</v>
      </c>
      <c r="Q63" s="78" t="str">
        <f t="shared" si="8"/>
        <v>TEXT</v>
      </c>
      <c r="R63" s="78" t="str">
        <f t="shared" si="9"/>
        <v/>
      </c>
      <c r="S63" s="78" t="str">
        <f t="shared" si="10"/>
        <v/>
      </c>
      <c r="T63" s="78" t="str">
        <f t="shared" si="11"/>
        <v>-- 移乗（介助の状態）</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milscm_2023_010.azn_202310_backup_merge_dpc_hn.ass0021_ijo_kaijo IS '移乗（介助の状態）';</v>
      </c>
      <c r="AT63" s="4"/>
      <c r="AU63" s="4"/>
      <c r="AV63" s="4"/>
      <c r="AW63" s="4"/>
      <c r="AX63" s="4"/>
      <c r="AY63" s="4"/>
      <c r="AZ63" s="4"/>
    </row>
    <row r="64" spans="1:52" s="25" customFormat="1" ht="31.5">
      <c r="A64" s="4"/>
      <c r="B64" s="21">
        <f t="shared" si="2"/>
        <v>52</v>
      </c>
      <c r="C64" s="13" t="s">
        <v>426</v>
      </c>
      <c r="D64" s="13" t="s">
        <v>427</v>
      </c>
      <c r="E64" s="7"/>
      <c r="F64" s="7" t="s">
        <v>318</v>
      </c>
      <c r="G64" s="7" t="str">
        <f t="shared" si="3"/>
        <v>text</v>
      </c>
      <c r="H64" s="58"/>
      <c r="I64" s="23"/>
      <c r="J64" s="24" t="s">
        <v>555</v>
      </c>
      <c r="L64" s="4"/>
      <c r="M64" s="4"/>
      <c r="N64" s="78"/>
      <c r="O64" s="78"/>
      <c r="P64" s="78" t="str">
        <f t="shared" si="7"/>
        <v>,ass0021_koku_seiketsu_kaijo</v>
      </c>
      <c r="Q64" s="78" t="str">
        <f t="shared" si="8"/>
        <v>TEXT</v>
      </c>
      <c r="R64" s="78" t="str">
        <f t="shared" si="9"/>
        <v/>
      </c>
      <c r="S64" s="78" t="str">
        <f t="shared" si="10"/>
        <v/>
      </c>
      <c r="T64" s="78" t="str">
        <f t="shared" si="11"/>
        <v>-- 口腔清潔（介助の状態）</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milscm_2023_010.azn_202310_backup_merge_dpc_hn.ass0021_koku_seiketsu_kaijo IS '口腔清潔（介助の状態）';</v>
      </c>
      <c r="AT64" s="4"/>
      <c r="AU64" s="4"/>
      <c r="AV64" s="4"/>
      <c r="AW64" s="4"/>
      <c r="AX64" s="4"/>
      <c r="AY64" s="4"/>
      <c r="AZ64" s="4"/>
    </row>
    <row r="65" spans="1:52" s="25" customFormat="1" ht="31.5">
      <c r="A65" s="4"/>
      <c r="B65" s="21">
        <f t="shared" si="2"/>
        <v>53</v>
      </c>
      <c r="C65" s="6" t="s">
        <v>428</v>
      </c>
      <c r="D65" s="6" t="s">
        <v>429</v>
      </c>
      <c r="E65" s="8"/>
      <c r="F65" s="7" t="s">
        <v>318</v>
      </c>
      <c r="G65" s="7" t="str">
        <f t="shared" si="3"/>
        <v>text</v>
      </c>
      <c r="H65" s="26"/>
      <c r="I65" s="10"/>
      <c r="J65" s="11" t="s">
        <v>555</v>
      </c>
      <c r="L65" s="4"/>
      <c r="M65" s="4"/>
      <c r="N65" s="78"/>
      <c r="O65" s="78"/>
      <c r="P65" s="78" t="str">
        <f t="shared" si="7"/>
        <v>,ass0021_shokuji_sesshu_kaijo</v>
      </c>
      <c r="Q65" s="78" t="str">
        <f t="shared" si="8"/>
        <v>TEXT</v>
      </c>
      <c r="R65" s="78" t="str">
        <f t="shared" si="9"/>
        <v/>
      </c>
      <c r="S65" s="78" t="str">
        <f t="shared" si="10"/>
        <v/>
      </c>
      <c r="T65" s="78" t="str">
        <f t="shared" si="11"/>
        <v>-- 食事摂取（介助の状態）</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milscm_2023_010.azn_202310_backup_merge_dpc_hn.ass0021_shokuji_sesshu_kaijo IS '食事摂取（介助の状態）';</v>
      </c>
      <c r="AT65" s="4"/>
      <c r="AU65" s="4"/>
      <c r="AV65" s="4"/>
      <c r="AW65" s="4"/>
      <c r="AX65" s="4"/>
      <c r="AY65" s="4"/>
      <c r="AZ65" s="4"/>
    </row>
    <row r="66" spans="1:52" s="25" customFormat="1" ht="31.5">
      <c r="A66" s="4"/>
      <c r="B66" s="21">
        <f t="shared" si="2"/>
        <v>54</v>
      </c>
      <c r="C66" s="13" t="s">
        <v>430</v>
      </c>
      <c r="D66" s="13" t="s">
        <v>431</v>
      </c>
      <c r="E66" s="7"/>
      <c r="F66" s="7" t="s">
        <v>318</v>
      </c>
      <c r="G66" s="7" t="str">
        <f t="shared" si="3"/>
        <v>text</v>
      </c>
      <c r="H66" s="58"/>
      <c r="I66" s="23"/>
      <c r="J66" s="24" t="s">
        <v>555</v>
      </c>
      <c r="L66" s="4"/>
      <c r="M66" s="4"/>
      <c r="N66" s="78"/>
      <c r="O66" s="78"/>
      <c r="P66" s="78" t="str">
        <f t="shared" si="7"/>
        <v>,ass0021_ifuku_chakudatsu_kaijo</v>
      </c>
      <c r="Q66" s="78" t="str">
        <f t="shared" si="8"/>
        <v>TEXT</v>
      </c>
      <c r="R66" s="78" t="str">
        <f t="shared" si="9"/>
        <v/>
      </c>
      <c r="S66" s="78" t="str">
        <f t="shared" si="10"/>
        <v/>
      </c>
      <c r="T66" s="78" t="str">
        <f t="shared" si="11"/>
        <v>-- 衣服の着脱（介助の状態）</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milscm_2023_010.azn_202310_backup_merge_dpc_hn.ass0021_ifuku_chakudatsu_kaijo IS '衣服の着脱（介助の状態）';</v>
      </c>
      <c r="AT66" s="4"/>
      <c r="AU66" s="4"/>
      <c r="AV66" s="4"/>
      <c r="AW66" s="4"/>
      <c r="AX66" s="4"/>
      <c r="AY66" s="4"/>
      <c r="AZ66" s="4"/>
    </row>
    <row r="67" spans="1:52" s="25" customFormat="1" ht="31.5">
      <c r="A67" s="4"/>
      <c r="B67" s="21">
        <f t="shared" si="2"/>
        <v>55</v>
      </c>
      <c r="C67" s="6" t="s">
        <v>432</v>
      </c>
      <c r="D67" s="6" t="s">
        <v>433</v>
      </c>
      <c r="E67" s="8"/>
      <c r="F67" s="7" t="s">
        <v>318</v>
      </c>
      <c r="G67" s="7" t="str">
        <f t="shared" si="3"/>
        <v>text</v>
      </c>
      <c r="H67" s="26"/>
      <c r="I67" s="10"/>
      <c r="J67" s="11" t="s">
        <v>545</v>
      </c>
      <c r="L67" s="4"/>
      <c r="M67" s="4"/>
      <c r="N67" s="78"/>
      <c r="O67" s="78"/>
      <c r="P67" s="78" t="str">
        <f t="shared" si="7"/>
        <v>,ass0030_kaito_shujutsu_7days</v>
      </c>
      <c r="Q67" s="78" t="str">
        <f t="shared" si="8"/>
        <v>TEXT</v>
      </c>
      <c r="R67" s="78" t="str">
        <f t="shared" si="9"/>
        <v/>
      </c>
      <c r="S67" s="78" t="str">
        <f t="shared" si="10"/>
        <v/>
      </c>
      <c r="T67" s="78" t="str">
        <f t="shared" si="11"/>
        <v>-- 開頭手術（7日間）</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milscm_2023_010.azn_202310_backup_merge_dpc_hn.ass0030_kaito_shujutsu_7days IS '開頭手術（7日間）';</v>
      </c>
      <c r="AT67" s="4"/>
      <c r="AU67" s="4"/>
      <c r="AV67" s="4"/>
      <c r="AW67" s="4"/>
      <c r="AX67" s="4"/>
      <c r="AY67" s="4"/>
      <c r="AZ67" s="4"/>
    </row>
    <row r="68" spans="1:52" s="25" customFormat="1" ht="31.5">
      <c r="A68" s="4"/>
      <c r="B68" s="21">
        <f t="shared" si="2"/>
        <v>56</v>
      </c>
      <c r="C68" s="13" t="s">
        <v>434</v>
      </c>
      <c r="D68" s="13" t="s">
        <v>435</v>
      </c>
      <c r="E68" s="7"/>
      <c r="F68" s="7" t="s">
        <v>318</v>
      </c>
      <c r="G68" s="7" t="str">
        <f t="shared" si="3"/>
        <v>text</v>
      </c>
      <c r="H68" s="58"/>
      <c r="I68" s="23"/>
      <c r="J68" s="24" t="s">
        <v>545</v>
      </c>
      <c r="L68" s="4"/>
      <c r="M68" s="4"/>
      <c r="N68" s="78"/>
      <c r="O68" s="78"/>
      <c r="P68" s="78" t="str">
        <f t="shared" si="7"/>
        <v>,ass0030_kaikyo_shujutsu_7days</v>
      </c>
      <c r="Q68" s="78" t="str">
        <f t="shared" si="8"/>
        <v>TEXT</v>
      </c>
      <c r="R68" s="78" t="str">
        <f t="shared" si="9"/>
        <v/>
      </c>
      <c r="S68" s="78" t="str">
        <f t="shared" si="10"/>
        <v/>
      </c>
      <c r="T68" s="78" t="str">
        <f t="shared" si="11"/>
        <v>-- 開胸手術（7日間）</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milscm_2023_010.azn_202310_backup_merge_dpc_hn.ass0030_kaikyo_shujutsu_7days IS '開胸手術（7日間）';</v>
      </c>
      <c r="AT68" s="4"/>
      <c r="AU68" s="4"/>
      <c r="AV68" s="4"/>
      <c r="AW68" s="4"/>
      <c r="AX68" s="4"/>
      <c r="AY68" s="4"/>
      <c r="AZ68" s="4"/>
    </row>
    <row r="69" spans="1:52" s="25" customFormat="1" ht="31.5">
      <c r="A69" s="4"/>
      <c r="B69" s="21">
        <f t="shared" si="2"/>
        <v>57</v>
      </c>
      <c r="C69" s="6" t="s">
        <v>436</v>
      </c>
      <c r="D69" s="6" t="s">
        <v>437</v>
      </c>
      <c r="E69" s="8"/>
      <c r="F69" s="7" t="s">
        <v>318</v>
      </c>
      <c r="G69" s="7" t="str">
        <f t="shared" si="3"/>
        <v>text</v>
      </c>
      <c r="H69" s="26"/>
      <c r="I69" s="10"/>
      <c r="J69" s="11" t="s">
        <v>545</v>
      </c>
      <c r="L69" s="4"/>
      <c r="M69" s="4"/>
      <c r="N69" s="78"/>
      <c r="O69" s="78"/>
      <c r="P69" s="78" t="str">
        <f t="shared" si="7"/>
        <v>,ass0030_kaifuku_shujutsu_4days</v>
      </c>
      <c r="Q69" s="78" t="str">
        <f t="shared" si="8"/>
        <v>TEXT</v>
      </c>
      <c r="R69" s="78" t="str">
        <f t="shared" si="9"/>
        <v/>
      </c>
      <c r="S69" s="78" t="str">
        <f t="shared" si="10"/>
        <v/>
      </c>
      <c r="T69" s="78" t="str">
        <f t="shared" si="11"/>
        <v>-- 開腹手術（4日間）</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milscm_2023_010.azn_202310_backup_merge_dpc_hn.ass0030_kaifuku_shujutsu_4days IS '開腹手術（4日間）';</v>
      </c>
      <c r="AT69" s="4"/>
      <c r="AU69" s="4"/>
      <c r="AV69" s="4"/>
      <c r="AW69" s="4"/>
      <c r="AX69" s="4"/>
      <c r="AY69" s="4"/>
      <c r="AZ69" s="4"/>
    </row>
    <row r="70" spans="1:52" s="25" customFormat="1" ht="31.5">
      <c r="A70" s="4"/>
      <c r="B70" s="21">
        <f t="shared" si="2"/>
        <v>58</v>
      </c>
      <c r="C70" s="6" t="s">
        <v>438</v>
      </c>
      <c r="D70" s="6" t="s">
        <v>439</v>
      </c>
      <c r="E70" s="8"/>
      <c r="F70" s="7" t="s">
        <v>318</v>
      </c>
      <c r="G70" s="7" t="str">
        <f t="shared" si="3"/>
        <v>text</v>
      </c>
      <c r="H70" s="26"/>
      <c r="I70" s="10"/>
      <c r="J70" s="11" t="s">
        <v>545</v>
      </c>
      <c r="L70" s="4"/>
      <c r="M70" s="4"/>
      <c r="N70" s="78"/>
      <c r="O70" s="78"/>
      <c r="P70" s="78" t="str">
        <f t="shared" si="7"/>
        <v>,ass0030_hone_shujutsu_5days</v>
      </c>
      <c r="Q70" s="78" t="str">
        <f t="shared" si="8"/>
        <v>TEXT</v>
      </c>
      <c r="R70" s="78" t="str">
        <f t="shared" si="9"/>
        <v/>
      </c>
      <c r="S70" s="78" t="str">
        <f t="shared" si="10"/>
        <v/>
      </c>
      <c r="T70" s="78" t="str">
        <f t="shared" si="11"/>
        <v>-- 骨の手術（5日間）</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milscm_2023_010.azn_202310_backup_merge_dpc_hn.ass0030_hone_shujutsu_5days IS '骨の手術（5日間）';</v>
      </c>
      <c r="AT70" s="4"/>
      <c r="AU70" s="4"/>
      <c r="AV70" s="4"/>
      <c r="AW70" s="4"/>
      <c r="AX70" s="4"/>
      <c r="AY70" s="4"/>
      <c r="AZ70" s="4"/>
    </row>
    <row r="71" spans="1:52" s="25" customFormat="1" ht="31.5">
      <c r="A71" s="4"/>
      <c r="B71" s="21">
        <f t="shared" si="2"/>
        <v>59</v>
      </c>
      <c r="C71" s="13" t="s">
        <v>440</v>
      </c>
      <c r="D71" s="13" t="s">
        <v>441</v>
      </c>
      <c r="E71" s="7"/>
      <c r="F71" s="7" t="s">
        <v>318</v>
      </c>
      <c r="G71" s="7" t="str">
        <f t="shared" si="3"/>
        <v>text</v>
      </c>
      <c r="H71" s="58"/>
      <c r="I71" s="23"/>
      <c r="J71" s="24" t="s">
        <v>545</v>
      </c>
      <c r="L71" s="4"/>
      <c r="M71" s="4"/>
      <c r="N71" s="78"/>
      <c r="O71" s="78"/>
      <c r="P71" s="78" t="str">
        <f t="shared" si="7"/>
        <v>,ass0030_kokyo_shujutsu_3days</v>
      </c>
      <c r="Q71" s="78" t="str">
        <f t="shared" si="8"/>
        <v>TEXT</v>
      </c>
      <c r="R71" s="78" t="str">
        <f t="shared" si="9"/>
        <v/>
      </c>
      <c r="S71" s="78" t="str">
        <f t="shared" si="10"/>
        <v/>
      </c>
      <c r="T71" s="78" t="str">
        <f t="shared" si="11"/>
        <v>-- 胸腔鏡・腹腔鏡手術（3日間）</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milscm_2023_010.azn_202310_backup_merge_dpc_hn.ass0030_kokyo_shujutsu_3days IS '胸腔鏡・腹腔鏡手術（3日間）';</v>
      </c>
      <c r="AT71" s="4"/>
      <c r="AU71" s="4"/>
      <c r="AV71" s="4"/>
      <c r="AW71" s="4"/>
      <c r="AX71" s="4"/>
      <c r="AY71" s="4"/>
      <c r="AZ71" s="4"/>
    </row>
    <row r="72" spans="1:52" s="25" customFormat="1" ht="31.5">
      <c r="A72" s="4"/>
      <c r="B72" s="21">
        <f t="shared" si="2"/>
        <v>60</v>
      </c>
      <c r="C72" s="6" t="s">
        <v>442</v>
      </c>
      <c r="D72" s="6" t="s">
        <v>443</v>
      </c>
      <c r="E72" s="8"/>
      <c r="F72" s="7" t="s">
        <v>318</v>
      </c>
      <c r="G72" s="7" t="str">
        <f t="shared" si="3"/>
        <v>text</v>
      </c>
      <c r="H72" s="26"/>
      <c r="I72" s="10"/>
      <c r="J72" s="11" t="s">
        <v>545</v>
      </c>
      <c r="L72" s="4"/>
      <c r="M72" s="4"/>
      <c r="N72" s="78"/>
      <c r="O72" s="78"/>
      <c r="P72" s="78" t="str">
        <f t="shared" si="7"/>
        <v>,ass0030_masui_shujutsu_2days</v>
      </c>
      <c r="Q72" s="78" t="str">
        <f t="shared" si="8"/>
        <v>TEXT</v>
      </c>
      <c r="R72" s="78" t="str">
        <f t="shared" si="9"/>
        <v/>
      </c>
      <c r="S72" s="78" t="str">
        <f t="shared" si="10"/>
        <v/>
      </c>
      <c r="T72" s="78" t="str">
        <f t="shared" si="11"/>
        <v>-- 全身麻酔・脊椎麻酔の手術（2日間）</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milscm_2023_010.azn_202310_backup_merge_dpc_hn.ass0030_masui_shujutsu_2days IS '全身麻酔・脊椎麻酔の手術（2日間）';</v>
      </c>
      <c r="AT72" s="4"/>
      <c r="AU72" s="4"/>
      <c r="AV72" s="4"/>
      <c r="AW72" s="4"/>
      <c r="AX72" s="4"/>
      <c r="AY72" s="4"/>
      <c r="AZ72" s="4"/>
    </row>
    <row r="73" spans="1:52" s="25" customFormat="1" ht="150">
      <c r="A73" s="4"/>
      <c r="B73" s="21">
        <f t="shared" si="2"/>
        <v>61</v>
      </c>
      <c r="C73" s="13" t="s">
        <v>444</v>
      </c>
      <c r="D73" s="13" t="s">
        <v>445</v>
      </c>
      <c r="E73" s="7"/>
      <c r="F73" s="7" t="s">
        <v>318</v>
      </c>
      <c r="G73" s="7" t="str">
        <f t="shared" si="3"/>
        <v>text</v>
      </c>
      <c r="H73" s="58"/>
      <c r="I73" s="23"/>
      <c r="J73" s="24" t="s">
        <v>556</v>
      </c>
      <c r="L73" s="4"/>
      <c r="M73" s="4"/>
      <c r="N73" s="78"/>
      <c r="O73" s="78"/>
      <c r="P73" s="78" t="str">
        <f t="shared" si="7"/>
        <v>,ass0030_naika_chiryo_2days</v>
      </c>
      <c r="Q73" s="78" t="str">
        <f t="shared" si="8"/>
        <v>TEXT</v>
      </c>
      <c r="R73" s="78" t="str">
        <f t="shared" si="9"/>
        <v/>
      </c>
      <c r="S73" s="78" t="str">
        <f t="shared" si="10"/>
        <v/>
      </c>
      <c r="T73" s="78" t="str">
        <f t="shared" si="11"/>
        <v>-- 救命等に係る内科的治療（2日間）</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milscm_2023_010.azn_202310_backup_merge_dpc_hn.ass0030_naika_chiryo_2days IS '救命等に係る内科的治療（2日間）';</v>
      </c>
      <c r="AT73" s="4"/>
      <c r="AU73" s="4"/>
      <c r="AV73" s="4"/>
      <c r="AW73" s="4"/>
      <c r="AX73" s="4"/>
      <c r="AY73" s="4"/>
      <c r="AZ73" s="4"/>
    </row>
    <row r="74" spans="1:52" s="25" customFormat="1">
      <c r="A74" s="4"/>
      <c r="B74" s="21">
        <f t="shared" si="2"/>
        <v>62</v>
      </c>
      <c r="C74" s="6" t="s">
        <v>371</v>
      </c>
      <c r="D74" s="6" t="s">
        <v>446</v>
      </c>
      <c r="E74" s="8"/>
      <c r="F74" s="7" t="s">
        <v>318</v>
      </c>
      <c r="G74" s="7" t="str">
        <f t="shared" si="3"/>
        <v>text</v>
      </c>
      <c r="H74" s="26"/>
      <c r="I74" s="10"/>
      <c r="J74" s="11" t="s">
        <v>545</v>
      </c>
      <c r="L74" s="4"/>
      <c r="M74" s="4"/>
      <c r="N74" s="78"/>
      <c r="O74" s="78"/>
      <c r="P74" s="78" t="str">
        <f t="shared" si="7"/>
        <v>,ass0040_shindenzu_kanri</v>
      </c>
      <c r="Q74" s="78" t="str">
        <f t="shared" si="8"/>
        <v>TEXT</v>
      </c>
      <c r="R74" s="78" t="str">
        <f t="shared" si="9"/>
        <v/>
      </c>
      <c r="S74" s="78" t="str">
        <f t="shared" si="10"/>
        <v/>
      </c>
      <c r="T74" s="78" t="str">
        <f t="shared" si="11"/>
        <v>-- 心電図モニターの管理</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milscm_2023_010.azn_202310_backup_merge_dpc_hn.ass0040_shindenzu_kanri IS '心電図モニターの管理';</v>
      </c>
      <c r="AT74" s="4"/>
      <c r="AU74" s="4"/>
      <c r="AV74" s="4"/>
      <c r="AW74" s="4"/>
      <c r="AX74" s="4"/>
      <c r="AY74" s="4"/>
      <c r="AZ74" s="4"/>
    </row>
    <row r="75" spans="1:52" s="25" customFormat="1" ht="31.5">
      <c r="A75" s="4"/>
      <c r="B75" s="21">
        <f t="shared" si="2"/>
        <v>63</v>
      </c>
      <c r="C75" s="13" t="s">
        <v>447</v>
      </c>
      <c r="D75" s="13" t="s">
        <v>448</v>
      </c>
      <c r="E75" s="7"/>
      <c r="F75" s="7" t="s">
        <v>318</v>
      </c>
      <c r="G75" s="7" t="str">
        <f t="shared" si="3"/>
        <v>text</v>
      </c>
      <c r="H75" s="58"/>
      <c r="I75" s="23"/>
      <c r="J75" s="24" t="s">
        <v>545</v>
      </c>
      <c r="L75" s="4"/>
      <c r="M75" s="4"/>
      <c r="N75" s="78"/>
      <c r="O75" s="78"/>
      <c r="P75" s="78" t="str">
        <f t="shared" si="7"/>
        <v>,ass0040_yueki_pump_kanri</v>
      </c>
      <c r="Q75" s="78" t="str">
        <f t="shared" si="8"/>
        <v>TEXT</v>
      </c>
      <c r="R75" s="78" t="str">
        <f t="shared" si="9"/>
        <v/>
      </c>
      <c r="S75" s="78" t="str">
        <f t="shared" si="10"/>
        <v/>
      </c>
      <c r="T75" s="78" t="str">
        <f t="shared" si="11"/>
        <v>-- 輸液ポンプの管理</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milscm_2023_010.azn_202310_backup_merge_dpc_hn.ass0040_yueki_pump_kanri IS '輸液ポンプの管理';</v>
      </c>
      <c r="AT75" s="4"/>
      <c r="AU75" s="4"/>
      <c r="AV75" s="4"/>
      <c r="AW75" s="4"/>
      <c r="AX75" s="4"/>
      <c r="AY75" s="4"/>
      <c r="AZ75" s="4"/>
    </row>
    <row r="76" spans="1:52" s="25" customFormat="1">
      <c r="A76" s="4"/>
      <c r="B76" s="21">
        <f t="shared" si="2"/>
        <v>64</v>
      </c>
      <c r="C76" s="6" t="s">
        <v>449</v>
      </c>
      <c r="D76" s="6" t="s">
        <v>450</v>
      </c>
      <c r="E76" s="8"/>
      <c r="F76" s="7" t="s">
        <v>318</v>
      </c>
      <c r="G76" s="7" t="str">
        <f t="shared" si="3"/>
        <v>text</v>
      </c>
      <c r="H76" s="26"/>
      <c r="I76" s="10"/>
      <c r="J76" s="11" t="s">
        <v>545</v>
      </c>
      <c r="L76" s="4"/>
      <c r="M76" s="4"/>
      <c r="N76" s="78"/>
      <c r="O76" s="78"/>
      <c r="P76" s="78" t="str">
        <f t="shared" si="7"/>
        <v>,ass0040_domyaku_sokutei</v>
      </c>
      <c r="Q76" s="78" t="str">
        <f t="shared" si="8"/>
        <v>TEXT</v>
      </c>
      <c r="R76" s="78" t="str">
        <f t="shared" si="9"/>
        <v/>
      </c>
      <c r="S76" s="78" t="str">
        <f t="shared" si="10"/>
        <v/>
      </c>
      <c r="T76" s="78" t="str">
        <f t="shared" si="11"/>
        <v>-- 動脈圧測定（動脈ライン）</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milscm_2023_010.azn_202310_backup_merge_dpc_hn.ass0040_domyaku_sokutei IS '動脈圧測定（動脈ライン）';</v>
      </c>
      <c r="AT76" s="4"/>
      <c r="AU76" s="4"/>
      <c r="AV76" s="4"/>
      <c r="AW76" s="4"/>
      <c r="AX76" s="4"/>
      <c r="AY76" s="4"/>
      <c r="AZ76" s="4"/>
    </row>
    <row r="77" spans="1:52" s="25" customFormat="1" ht="31.5">
      <c r="A77" s="4"/>
      <c r="B77" s="21">
        <f t="shared" si="2"/>
        <v>65</v>
      </c>
      <c r="C77" s="13" t="s">
        <v>373</v>
      </c>
      <c r="D77" s="13" t="s">
        <v>451</v>
      </c>
      <c r="E77" s="7"/>
      <c r="F77" s="7" t="s">
        <v>318</v>
      </c>
      <c r="G77" s="7" t="str">
        <f t="shared" si="3"/>
        <v>text</v>
      </c>
      <c r="H77" s="58"/>
      <c r="I77" s="23"/>
      <c r="J77" s="24" t="s">
        <v>545</v>
      </c>
      <c r="L77" s="4"/>
      <c r="M77" s="4"/>
      <c r="N77" s="78"/>
      <c r="O77" s="78"/>
      <c r="P77" s="78" t="str">
        <f t="shared" si="7"/>
        <v>,ass0040_syringe_pump_kanri</v>
      </c>
      <c r="Q77" s="78" t="str">
        <f t="shared" si="8"/>
        <v>TEXT</v>
      </c>
      <c r="R77" s="78" t="str">
        <f t="shared" si="9"/>
        <v/>
      </c>
      <c r="S77" s="78" t="str">
        <f t="shared" si="10"/>
        <v/>
      </c>
      <c r="T77" s="78" t="str">
        <f t="shared" si="11"/>
        <v>-- シリンジポンプの管理</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milscm_2023_010.azn_202310_backup_merge_dpc_hn.ass0040_syringe_pump_kanri IS 'シリンジポンプの管理';</v>
      </c>
      <c r="AT77" s="4"/>
      <c r="AU77" s="4"/>
      <c r="AV77" s="4"/>
      <c r="AW77" s="4"/>
      <c r="AX77" s="4"/>
      <c r="AY77" s="4"/>
      <c r="AZ77" s="4"/>
    </row>
    <row r="78" spans="1:52" s="25" customFormat="1" ht="31.5">
      <c r="A78" s="4"/>
      <c r="B78" s="21">
        <f t="shared" si="2"/>
        <v>66</v>
      </c>
      <c r="C78" s="6" t="s">
        <v>452</v>
      </c>
      <c r="D78" s="6" t="s">
        <v>453</v>
      </c>
      <c r="E78" s="8"/>
      <c r="F78" s="7" t="s">
        <v>318</v>
      </c>
      <c r="G78" s="7" t="str">
        <f t="shared" si="3"/>
        <v>text</v>
      </c>
      <c r="H78" s="26"/>
      <c r="I78" s="10"/>
      <c r="J78" s="11" t="s">
        <v>545</v>
      </c>
      <c r="L78" s="4"/>
      <c r="M78" s="4"/>
      <c r="N78" s="78"/>
      <c r="O78" s="78"/>
      <c r="P78" s="78" t="str">
        <f t="shared" si="7"/>
        <v>,ass0040_jomyaku_sokutei</v>
      </c>
      <c r="Q78" s="78" t="str">
        <f t="shared" si="8"/>
        <v>TEXT</v>
      </c>
      <c r="R78" s="78" t="str">
        <f t="shared" si="9"/>
        <v/>
      </c>
      <c r="S78" s="78" t="str">
        <f t="shared" si="10"/>
        <v/>
      </c>
      <c r="T78" s="78" t="str">
        <f t="shared" si="11"/>
        <v>-- 中心静脈圧測定（中心静脈ライン）</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milscm_2023_010.azn_202310_backup_merge_dpc_hn.ass0040_jomyaku_sokutei IS '中心静脈圧測定（中心静脈ライン）';</v>
      </c>
      <c r="AT78" s="4"/>
      <c r="AU78" s="4"/>
      <c r="AV78" s="4"/>
      <c r="AW78" s="4"/>
      <c r="AX78" s="4"/>
      <c r="AY78" s="4"/>
      <c r="AZ78" s="4"/>
    </row>
    <row r="79" spans="1:52" s="25" customFormat="1" ht="31.5">
      <c r="A79" s="4"/>
      <c r="B79" s="21">
        <f t="shared" si="2"/>
        <v>67</v>
      </c>
      <c r="C79" s="13" t="s">
        <v>454</v>
      </c>
      <c r="D79" s="13" t="s">
        <v>455</v>
      </c>
      <c r="E79" s="7"/>
      <c r="F79" s="7" t="s">
        <v>318</v>
      </c>
      <c r="G79" s="7" t="str">
        <f t="shared" si="3"/>
        <v>text</v>
      </c>
      <c r="H79" s="58"/>
      <c r="I79" s="23"/>
      <c r="J79" s="24" t="s">
        <v>545</v>
      </c>
      <c r="L79" s="4"/>
      <c r="M79" s="4"/>
      <c r="N79" s="78"/>
      <c r="O79" s="78"/>
      <c r="P79" s="78" t="str">
        <f t="shared" si="7"/>
        <v>,ass0040_jinko_kokyuki_kanri</v>
      </c>
      <c r="Q79" s="78" t="str">
        <f t="shared" si="8"/>
        <v>TEXT</v>
      </c>
      <c r="R79" s="78" t="str">
        <f t="shared" si="9"/>
        <v/>
      </c>
      <c r="S79" s="78" t="str">
        <f t="shared" si="10"/>
        <v/>
      </c>
      <c r="T79" s="78" t="str">
        <f t="shared" si="11"/>
        <v>-- 人工呼吸器の管理</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milscm_2023_010.azn_202310_backup_merge_dpc_hn.ass0040_jinko_kokyuki_kanri IS '人工呼吸器の管理';</v>
      </c>
      <c r="AT79" s="4"/>
      <c r="AU79" s="4"/>
      <c r="AV79" s="4"/>
      <c r="AW79" s="4"/>
      <c r="AX79" s="4"/>
      <c r="AY79" s="4"/>
      <c r="AZ79" s="4"/>
    </row>
    <row r="80" spans="1:52" s="25" customFormat="1" ht="31.5">
      <c r="A80" s="4"/>
      <c r="B80" s="21">
        <f t="shared" si="2"/>
        <v>68</v>
      </c>
      <c r="C80" s="13" t="s">
        <v>375</v>
      </c>
      <c r="D80" s="13" t="s">
        <v>456</v>
      </c>
      <c r="E80" s="7"/>
      <c r="F80" s="7" t="s">
        <v>318</v>
      </c>
      <c r="G80" s="7" t="str">
        <f t="shared" si="3"/>
        <v>text</v>
      </c>
      <c r="H80" s="58"/>
      <c r="I80" s="23"/>
      <c r="J80" s="24" t="s">
        <v>545</v>
      </c>
      <c r="L80" s="4"/>
      <c r="M80" s="4"/>
      <c r="N80" s="78"/>
      <c r="O80" s="78"/>
      <c r="P80" s="78" t="str">
        <f t="shared" si="7"/>
        <v>,ass0040_blood_products_kanri</v>
      </c>
      <c r="Q80" s="78" t="str">
        <f t="shared" si="8"/>
        <v>TEXT</v>
      </c>
      <c r="R80" s="78" t="str">
        <f t="shared" si="9"/>
        <v/>
      </c>
      <c r="S80" s="78" t="str">
        <f t="shared" si="10"/>
        <v/>
      </c>
      <c r="T80" s="78" t="str">
        <f t="shared" si="11"/>
        <v>-- 輸血や血液製剤の管理</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milscm_2023_010.azn_202310_backup_merge_dpc_hn.ass0040_blood_products_kanri IS '輸血や血液製剤の管理';</v>
      </c>
      <c r="AT80" s="4"/>
      <c r="AU80" s="4"/>
      <c r="AV80" s="4"/>
      <c r="AW80" s="4"/>
      <c r="AX80" s="4"/>
      <c r="AY80" s="4"/>
      <c r="AZ80" s="4"/>
    </row>
    <row r="81" spans="1:52" s="25" customFormat="1" ht="31.5">
      <c r="A81" s="4"/>
      <c r="B81" s="21">
        <f t="shared" si="2"/>
        <v>69</v>
      </c>
      <c r="C81" s="13" t="s">
        <v>457</v>
      </c>
      <c r="D81" s="13" t="s">
        <v>458</v>
      </c>
      <c r="E81" s="7"/>
      <c r="F81" s="7" t="s">
        <v>318</v>
      </c>
      <c r="G81" s="7" t="str">
        <f t="shared" si="3"/>
        <v>text</v>
      </c>
      <c r="H81" s="58"/>
      <c r="I81" s="23"/>
      <c r="J81" s="24" t="s">
        <v>545</v>
      </c>
      <c r="L81" s="4"/>
      <c r="M81" s="4"/>
      <c r="N81" s="78"/>
      <c r="O81" s="78"/>
      <c r="P81" s="78" t="str">
        <f t="shared" si="7"/>
        <v>,ass0040_hai_domyaku_sokutei</v>
      </c>
      <c r="Q81" s="78" t="str">
        <f t="shared" si="8"/>
        <v>TEXT</v>
      </c>
      <c r="R81" s="78" t="str">
        <f t="shared" si="9"/>
        <v/>
      </c>
      <c r="S81" s="78" t="str">
        <f t="shared" si="10"/>
        <v/>
      </c>
      <c r="T81" s="78" t="str">
        <f t="shared" si="11"/>
        <v>-- 肺動脈圧測定（スワンガンツカテーテル）</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459</v>
      </c>
      <c r="D82" s="6" t="s">
        <v>460</v>
      </c>
      <c r="E82" s="8"/>
      <c r="F82" s="7" t="s">
        <v>318</v>
      </c>
      <c r="G82" s="7" t="str">
        <f t="shared" si="3"/>
        <v>text</v>
      </c>
      <c r="H82" s="26"/>
      <c r="I82" s="10"/>
      <c r="J82" s="11" t="s">
        <v>545</v>
      </c>
      <c r="L82" s="4"/>
      <c r="M82" s="4"/>
      <c r="N82" s="78"/>
      <c r="O82" s="78"/>
      <c r="P82" s="78" t="str">
        <f t="shared" si="7"/>
        <v>,ass0040_special_chiryo</v>
      </c>
      <c r="Q82" s="78" t="str">
        <f t="shared" si="8"/>
        <v>TEXT</v>
      </c>
      <c r="R82" s="78" t="str">
        <f t="shared" si="9"/>
        <v/>
      </c>
      <c r="S82" s="78" t="str">
        <f t="shared" si="10"/>
        <v/>
      </c>
      <c r="T82" s="78" t="str">
        <f t="shared" si="11"/>
        <v>-- 特殊な治療法等</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milscm_2023_010.azn_202310_backup_merge_dpc_hn.ass0040_special_chiryo IS '特殊な治療法等';</v>
      </c>
      <c r="AT82" s="4"/>
      <c r="AU82" s="4"/>
      <c r="AV82" s="4"/>
      <c r="AW82" s="4"/>
      <c r="AX82" s="4"/>
      <c r="AY82" s="4"/>
      <c r="AZ82" s="4"/>
    </row>
    <row r="83" spans="1:52" s="25" customFormat="1" ht="31.5">
      <c r="A83" s="4"/>
      <c r="B83" s="21">
        <f t="shared" si="2"/>
        <v>71</v>
      </c>
      <c r="C83" s="13" t="s">
        <v>447</v>
      </c>
      <c r="D83" s="13" t="s">
        <v>461</v>
      </c>
      <c r="E83" s="7"/>
      <c r="F83" s="7" t="s">
        <v>318</v>
      </c>
      <c r="G83" s="7" t="str">
        <f t="shared" si="3"/>
        <v>text</v>
      </c>
      <c r="H83" s="58"/>
      <c r="I83" s="23"/>
      <c r="J83" s="24" t="s">
        <v>545</v>
      </c>
      <c r="L83" s="4"/>
      <c r="M83" s="4"/>
      <c r="N83" s="78"/>
      <c r="O83" s="78"/>
      <c r="P83" s="78" t="str">
        <f t="shared" si="7"/>
        <v>,ass0041_yueki_pump_kanri</v>
      </c>
      <c r="Q83" s="78" t="str">
        <f t="shared" si="8"/>
        <v>TEXT</v>
      </c>
      <c r="R83" s="78" t="str">
        <f t="shared" si="9"/>
        <v/>
      </c>
      <c r="S83" s="78" t="str">
        <f t="shared" si="10"/>
        <v/>
      </c>
      <c r="T83" s="78" t="str">
        <f t="shared" si="11"/>
        <v>-- 輸液ポンプの管理</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milscm_2023_010.azn_202310_backup_merge_dpc_hn.ass0041_yueki_pump_kanri IS '輸液ポンプの管理';</v>
      </c>
      <c r="AT83" s="4"/>
      <c r="AU83" s="4"/>
      <c r="AV83" s="4"/>
      <c r="AW83" s="4"/>
      <c r="AX83" s="4"/>
      <c r="AY83" s="4"/>
      <c r="AZ83" s="4"/>
    </row>
    <row r="84" spans="1:52" s="25" customFormat="1" ht="31.5">
      <c r="A84" s="4"/>
      <c r="B84" s="21">
        <f t="shared" si="2"/>
        <v>72</v>
      </c>
      <c r="C84" s="6" t="s">
        <v>462</v>
      </c>
      <c r="D84" s="6" t="s">
        <v>463</v>
      </c>
      <c r="E84" s="8"/>
      <c r="F84" s="7" t="s">
        <v>318</v>
      </c>
      <c r="G84" s="7" t="str">
        <f t="shared" si="3"/>
        <v>text</v>
      </c>
      <c r="H84" s="26"/>
      <c r="I84" s="10"/>
      <c r="J84" s="11" t="s">
        <v>545</v>
      </c>
      <c r="L84" s="4"/>
      <c r="M84" s="4"/>
      <c r="N84" s="78"/>
      <c r="O84" s="78"/>
      <c r="P84" s="78" t="str">
        <f t="shared" si="7"/>
        <v>,ass0041_domyakuatsu_sokute</v>
      </c>
      <c r="Q84" s="78" t="str">
        <f t="shared" si="8"/>
        <v>TEXT</v>
      </c>
      <c r="R84" s="78" t="str">
        <f t="shared" si="9"/>
        <v/>
      </c>
      <c r="S84" s="78" t="str">
        <f t="shared" si="10"/>
        <v/>
      </c>
      <c r="T84" s="78" t="str">
        <f t="shared" si="11"/>
        <v>-- 動脈圧測定</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milscm_2023_010.azn_202310_backup_merge_dpc_hn.ass0041_domyakuatsu_sokute IS '動脈圧測定';</v>
      </c>
      <c r="AT84" s="4"/>
      <c r="AU84" s="4"/>
      <c r="AV84" s="4"/>
      <c r="AW84" s="4"/>
      <c r="AX84" s="4"/>
      <c r="AY84" s="4"/>
      <c r="AZ84" s="4"/>
    </row>
    <row r="85" spans="1:52" s="25" customFormat="1" ht="31.5">
      <c r="A85" s="4"/>
      <c r="B85" s="21">
        <f t="shared" si="2"/>
        <v>73</v>
      </c>
      <c r="C85" s="13" t="s">
        <v>373</v>
      </c>
      <c r="D85" s="13" t="s">
        <v>464</v>
      </c>
      <c r="E85" s="7"/>
      <c r="F85" s="7" t="s">
        <v>318</v>
      </c>
      <c r="G85" s="7" t="str">
        <f t="shared" si="3"/>
        <v>text</v>
      </c>
      <c r="H85" s="58"/>
      <c r="I85" s="23"/>
      <c r="J85" s="24" t="s">
        <v>545</v>
      </c>
      <c r="L85" s="4"/>
      <c r="M85" s="4"/>
      <c r="N85" s="78"/>
      <c r="O85" s="78"/>
      <c r="P85" s="78" t="str">
        <f t="shared" si="7"/>
        <v>,ass0041_syringe_pump_kanri</v>
      </c>
      <c r="Q85" s="78" t="str">
        <f t="shared" si="8"/>
        <v>TEXT</v>
      </c>
      <c r="R85" s="78" t="str">
        <f t="shared" si="9"/>
        <v/>
      </c>
      <c r="S85" s="78" t="str">
        <f t="shared" si="10"/>
        <v/>
      </c>
      <c r="T85" s="78" t="str">
        <f t="shared" si="11"/>
        <v>-- シリンジポンプの管理</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milscm_2023_010.azn_202310_backup_merge_dpc_hn.ass0041_syringe_pump_kanri IS 'シリンジポンプの管理';</v>
      </c>
      <c r="AT85" s="4"/>
      <c r="AU85" s="4"/>
      <c r="AV85" s="4"/>
      <c r="AW85" s="4"/>
      <c r="AX85" s="4"/>
      <c r="AY85" s="4"/>
      <c r="AZ85" s="4"/>
    </row>
    <row r="86" spans="1:52" s="25" customFormat="1" ht="31.5">
      <c r="A86" s="4"/>
      <c r="B86" s="21">
        <f t="shared" si="2"/>
        <v>74</v>
      </c>
      <c r="C86" s="6" t="s">
        <v>452</v>
      </c>
      <c r="D86" s="6" t="s">
        <v>465</v>
      </c>
      <c r="E86" s="8"/>
      <c r="F86" s="7" t="s">
        <v>318</v>
      </c>
      <c r="G86" s="7" t="str">
        <f t="shared" si="3"/>
        <v>text</v>
      </c>
      <c r="H86" s="26"/>
      <c r="I86" s="10"/>
      <c r="J86" s="11" t="s">
        <v>545</v>
      </c>
      <c r="L86" s="4"/>
      <c r="M86" s="4"/>
      <c r="N86" s="78"/>
      <c r="O86" s="78"/>
      <c r="P86" s="78" t="str">
        <f t="shared" si="7"/>
        <v>,ass0041_jomyaku_sokutei</v>
      </c>
      <c r="Q86" s="78" t="str">
        <f t="shared" si="8"/>
        <v>TEXT</v>
      </c>
      <c r="R86" s="78" t="str">
        <f t="shared" si="9"/>
        <v/>
      </c>
      <c r="S86" s="78" t="str">
        <f t="shared" si="10"/>
        <v/>
      </c>
      <c r="T86" s="78" t="str">
        <f t="shared" si="11"/>
        <v>-- 中心静脈圧測定（中心静脈ライン）</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milscm_2023_010.azn_202310_backup_merge_dpc_hn.ass0041_jomyaku_sokutei IS '中心静脈圧測定（中心静脈ライン）';</v>
      </c>
      <c r="AT86" s="4"/>
      <c r="AU86" s="4"/>
      <c r="AV86" s="4"/>
      <c r="AW86" s="4"/>
      <c r="AX86" s="4"/>
      <c r="AY86" s="4"/>
      <c r="AZ86" s="4"/>
    </row>
    <row r="87" spans="1:52" s="25" customFormat="1" ht="31.5">
      <c r="A87" s="4"/>
      <c r="B87" s="21">
        <f t="shared" si="2"/>
        <v>75</v>
      </c>
      <c r="C87" s="6" t="s">
        <v>466</v>
      </c>
      <c r="D87" s="6" t="s">
        <v>467</v>
      </c>
      <c r="E87" s="8"/>
      <c r="F87" s="7" t="s">
        <v>318</v>
      </c>
      <c r="G87" s="7" t="str">
        <f t="shared" si="3"/>
        <v>text</v>
      </c>
      <c r="H87" s="26"/>
      <c r="I87" s="10"/>
      <c r="J87" s="11" t="s">
        <v>545</v>
      </c>
      <c r="L87" s="4"/>
      <c r="M87" s="4"/>
      <c r="N87" s="78"/>
      <c r="O87" s="78"/>
      <c r="P87" s="78" t="str">
        <f t="shared" si="7"/>
        <v>,ass0041_jinko_kokyuki_kanri</v>
      </c>
      <c r="Q87" s="78" t="str">
        <f t="shared" si="8"/>
        <v>TEXT</v>
      </c>
      <c r="R87" s="78" t="str">
        <f t="shared" si="9"/>
        <v/>
      </c>
      <c r="S87" s="78" t="str">
        <f t="shared" si="10"/>
        <v/>
      </c>
      <c r="T87" s="78" t="str">
        <f t="shared" si="11"/>
        <v>-- 人工呼吸器の管理</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milscm_2023_010.azn_202310_backup_merge_dpc_hn.ass0041_jinko_kokyuki_kanri IS '人工呼吸器の管理';</v>
      </c>
      <c r="AT87" s="4"/>
      <c r="AU87" s="4"/>
      <c r="AV87" s="4"/>
      <c r="AW87" s="4"/>
      <c r="AX87" s="4"/>
      <c r="AY87" s="4"/>
      <c r="AZ87" s="4"/>
    </row>
    <row r="88" spans="1:52" s="25" customFormat="1" ht="31.5">
      <c r="A88" s="4"/>
      <c r="B88" s="21">
        <f t="shared" si="2"/>
        <v>76</v>
      </c>
      <c r="C88" s="13" t="s">
        <v>375</v>
      </c>
      <c r="D88" s="13" t="s">
        <v>468</v>
      </c>
      <c r="E88" s="7"/>
      <c r="F88" s="7" t="s">
        <v>318</v>
      </c>
      <c r="G88" s="7" t="str">
        <f t="shared" si="3"/>
        <v>text</v>
      </c>
      <c r="H88" s="58"/>
      <c r="I88" s="23"/>
      <c r="J88" s="24" t="s">
        <v>545</v>
      </c>
      <c r="L88" s="4"/>
      <c r="M88" s="4"/>
      <c r="N88" s="78"/>
      <c r="O88" s="78"/>
      <c r="P88" s="78" t="str">
        <f t="shared" si="7"/>
        <v>,ass0041_blood_products_kanri</v>
      </c>
      <c r="Q88" s="78" t="str">
        <f t="shared" si="8"/>
        <v>TEXT</v>
      </c>
      <c r="R88" s="78" t="str">
        <f t="shared" si="9"/>
        <v/>
      </c>
      <c r="S88" s="78" t="str">
        <f t="shared" si="10"/>
        <v/>
      </c>
      <c r="T88" s="78" t="str">
        <f t="shared" si="11"/>
        <v>-- 輸血や血液製剤の管理</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milscm_2023_010.azn_202310_backup_merge_dpc_hn.ass0041_blood_products_kanri IS '輸血や血液製剤の管理';</v>
      </c>
      <c r="AT88" s="4"/>
      <c r="AU88" s="4"/>
      <c r="AV88" s="4"/>
      <c r="AW88" s="4"/>
      <c r="AX88" s="4"/>
      <c r="AY88" s="4"/>
      <c r="AZ88" s="4"/>
    </row>
    <row r="89" spans="1:52" s="25" customFormat="1" ht="31.5">
      <c r="A89" s="4"/>
      <c r="B89" s="21">
        <f t="shared" si="2"/>
        <v>77</v>
      </c>
      <c r="C89" s="6" t="s">
        <v>469</v>
      </c>
      <c r="D89" s="6" t="s">
        <v>470</v>
      </c>
      <c r="E89" s="8"/>
      <c r="F89" s="7" t="s">
        <v>318</v>
      </c>
      <c r="G89" s="7" t="str">
        <f t="shared" si="3"/>
        <v>text</v>
      </c>
      <c r="H89" s="26"/>
      <c r="I89" s="10"/>
      <c r="J89" s="11" t="s">
        <v>545</v>
      </c>
      <c r="L89" s="4"/>
      <c r="M89" s="4"/>
      <c r="N89" s="78"/>
      <c r="O89" s="78"/>
      <c r="P89" s="78" t="str">
        <f t="shared" si="7"/>
        <v>,ass0041_hai_domyaku_sokutei</v>
      </c>
      <c r="Q89" s="78" t="str">
        <f t="shared" si="8"/>
        <v>TEXT</v>
      </c>
      <c r="R89" s="78" t="str">
        <f t="shared" si="9"/>
        <v/>
      </c>
      <c r="S89" s="78" t="str">
        <f t="shared" si="10"/>
        <v/>
      </c>
      <c r="T89" s="78" t="str">
        <f t="shared" si="11"/>
        <v>-- 肺動脈圧測定（スワンガンツカテーテル）</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459</v>
      </c>
      <c r="D90" s="13" t="s">
        <v>471</v>
      </c>
      <c r="E90" s="7"/>
      <c r="F90" s="7" t="s">
        <v>318</v>
      </c>
      <c r="G90" s="7" t="str">
        <f t="shared" si="3"/>
        <v>text</v>
      </c>
      <c r="H90" s="58"/>
      <c r="I90" s="23"/>
      <c r="J90" s="24" t="s">
        <v>545</v>
      </c>
      <c r="L90" s="4"/>
      <c r="M90" s="4"/>
      <c r="N90" s="78"/>
      <c r="O90" s="78"/>
      <c r="P90" s="78" t="str">
        <f t="shared" si="7"/>
        <v>,ass0041_special_chiryo</v>
      </c>
      <c r="Q90" s="78" t="str">
        <f t="shared" si="8"/>
        <v>TEXT</v>
      </c>
      <c r="R90" s="78" t="str">
        <f t="shared" si="9"/>
        <v/>
      </c>
      <c r="S90" s="78" t="str">
        <f t="shared" si="10"/>
        <v/>
      </c>
      <c r="T90" s="78" t="str">
        <f t="shared" si="11"/>
        <v>-- 特殊な治療法等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milscm_2023_010.azn_202310_backup_merge_dpc_hn.ass0041_special_chiryo IS '特殊な治療法等';</v>
      </c>
      <c r="AT90" s="4"/>
      <c r="AU90" s="4"/>
      <c r="AV90" s="4"/>
      <c r="AW90" s="4"/>
      <c r="AX90" s="4"/>
      <c r="AY90" s="4"/>
      <c r="AZ90" s="4"/>
    </row>
    <row r="91" spans="1:52" s="25" customFormat="1" ht="37.5">
      <c r="A91" s="4"/>
      <c r="B91" s="21">
        <f t="shared" si="2"/>
        <v>79</v>
      </c>
      <c r="C91" s="6" t="s">
        <v>399</v>
      </c>
      <c r="D91" s="6" t="s">
        <v>472</v>
      </c>
      <c r="E91" s="8"/>
      <c r="F91" s="7" t="s">
        <v>318</v>
      </c>
      <c r="G91" s="7" t="str">
        <f t="shared" si="3"/>
        <v>text</v>
      </c>
      <c r="H91" s="26"/>
      <c r="I91" s="10"/>
      <c r="J91" s="11" t="s">
        <v>548</v>
      </c>
      <c r="L91" s="4"/>
      <c r="M91" s="4"/>
      <c r="N91" s="78"/>
      <c r="O91" s="78"/>
      <c r="P91" s="78" t="str">
        <f t="shared" si="7"/>
        <v>,ass0050_negaeri</v>
      </c>
      <c r="Q91" s="78" t="str">
        <f t="shared" si="8"/>
        <v>TEXT</v>
      </c>
      <c r="R91" s="78" t="str">
        <f t="shared" si="9"/>
        <v/>
      </c>
      <c r="S91" s="78" t="str">
        <f t="shared" si="10"/>
        <v/>
      </c>
      <c r="T91" s="78" t="str">
        <f t="shared" si="11"/>
        <v>-- 寝返り</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milscm_2023_010.azn_202310_backup_merge_dpc_hn.ass0050_negaeri IS '寝返り';</v>
      </c>
      <c r="AT91" s="4"/>
      <c r="AU91" s="4"/>
      <c r="AV91" s="4"/>
      <c r="AW91" s="4"/>
      <c r="AX91" s="4"/>
      <c r="AY91" s="4"/>
      <c r="AZ91" s="4"/>
    </row>
    <row r="92" spans="1:52" s="25" customFormat="1">
      <c r="A92" s="4"/>
      <c r="B92" s="21">
        <f t="shared" si="2"/>
        <v>80</v>
      </c>
      <c r="C92" s="13" t="s">
        <v>401</v>
      </c>
      <c r="D92" s="13" t="s">
        <v>473</v>
      </c>
      <c r="E92" s="7"/>
      <c r="F92" s="7" t="s">
        <v>318</v>
      </c>
      <c r="G92" s="7" t="str">
        <f t="shared" si="3"/>
        <v>text</v>
      </c>
      <c r="H92" s="58"/>
      <c r="I92" s="23"/>
      <c r="J92" s="24" t="s">
        <v>549</v>
      </c>
      <c r="L92" s="4"/>
      <c r="M92" s="4"/>
      <c r="N92" s="78"/>
      <c r="O92" s="78"/>
      <c r="P92" s="78" t="str">
        <f t="shared" si="7"/>
        <v>,ass0050_ijo</v>
      </c>
      <c r="Q92" s="78" t="str">
        <f t="shared" si="8"/>
        <v>TEXT</v>
      </c>
      <c r="R92" s="78" t="str">
        <f t="shared" si="9"/>
        <v/>
      </c>
      <c r="S92" s="78" t="str">
        <f t="shared" si="10"/>
        <v/>
      </c>
      <c r="T92" s="78" t="str">
        <f t="shared" si="11"/>
        <v>-- 移乗</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milscm_2023_010.azn_202310_backup_merge_dpc_hn.ass0050_ijo IS '移乗';</v>
      </c>
      <c r="AT92" s="4"/>
      <c r="AU92" s="4"/>
      <c r="AV92" s="4"/>
      <c r="AW92" s="4"/>
      <c r="AX92" s="4"/>
      <c r="AY92" s="4"/>
      <c r="AZ92" s="4"/>
    </row>
    <row r="93" spans="1:52" s="25" customFormat="1">
      <c r="A93" s="4"/>
      <c r="B93" s="21">
        <f t="shared" si="2"/>
        <v>81</v>
      </c>
      <c r="C93" s="6" t="s">
        <v>403</v>
      </c>
      <c r="D93" s="6" t="s">
        <v>474</v>
      </c>
      <c r="E93" s="8"/>
      <c r="F93" s="7" t="s">
        <v>318</v>
      </c>
      <c r="G93" s="7" t="str">
        <f t="shared" si="3"/>
        <v>text</v>
      </c>
      <c r="H93" s="26"/>
      <c r="I93" s="10"/>
      <c r="J93" s="11" t="s">
        <v>550</v>
      </c>
      <c r="L93" s="4"/>
      <c r="M93" s="4"/>
      <c r="N93" s="78"/>
      <c r="O93" s="78"/>
      <c r="P93" s="78" t="str">
        <f t="shared" si="7"/>
        <v>,ass0050_koku_seiketsu</v>
      </c>
      <c r="Q93" s="78" t="str">
        <f t="shared" si="8"/>
        <v>TEXT</v>
      </c>
      <c r="R93" s="78" t="str">
        <f t="shared" si="9"/>
        <v/>
      </c>
      <c r="S93" s="78" t="str">
        <f t="shared" si="10"/>
        <v/>
      </c>
      <c r="T93" s="78" t="str">
        <f t="shared" si="11"/>
        <v>-- 口腔清潔</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milscm_2023_010.azn_202310_backup_merge_dpc_hn.ass0050_koku_seiketsu IS '口腔清潔';</v>
      </c>
      <c r="AT93" s="4"/>
      <c r="AU93" s="4"/>
      <c r="AV93" s="4"/>
      <c r="AW93" s="4"/>
      <c r="AX93" s="4"/>
      <c r="AY93" s="4"/>
      <c r="AZ93" s="4"/>
    </row>
    <row r="94" spans="1:52" s="25" customFormat="1">
      <c r="A94" s="4"/>
      <c r="B94" s="21">
        <f t="shared" si="2"/>
        <v>82</v>
      </c>
      <c r="C94" s="13" t="s">
        <v>405</v>
      </c>
      <c r="D94" s="13" t="s">
        <v>475</v>
      </c>
      <c r="E94" s="7"/>
      <c r="F94" s="7" t="s">
        <v>318</v>
      </c>
      <c r="G94" s="7" t="str">
        <f t="shared" si="3"/>
        <v>text</v>
      </c>
      <c r="H94" s="58"/>
      <c r="I94" s="23"/>
      <c r="J94" s="24" t="s">
        <v>549</v>
      </c>
      <c r="L94" s="4"/>
      <c r="M94" s="4"/>
      <c r="N94" s="78"/>
      <c r="O94" s="78"/>
      <c r="P94" s="78" t="str">
        <f t="shared" si="7"/>
        <v>,ass0050_shokuji_sesshu</v>
      </c>
      <c r="Q94" s="78" t="str">
        <f t="shared" si="8"/>
        <v>TEXT</v>
      </c>
      <c r="R94" s="78" t="str">
        <f t="shared" si="9"/>
        <v/>
      </c>
      <c r="S94" s="78" t="str">
        <f t="shared" si="10"/>
        <v/>
      </c>
      <c r="T94" s="78" t="str">
        <f t="shared" si="11"/>
        <v>-- 食事摂取</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milscm_2023_010.azn_202310_backup_merge_dpc_hn.ass0050_shokuji_sesshu IS '食事摂取';</v>
      </c>
      <c r="AT94" s="4"/>
      <c r="AU94" s="4"/>
      <c r="AV94" s="4"/>
      <c r="AW94" s="4"/>
      <c r="AX94" s="4"/>
      <c r="AY94" s="4"/>
      <c r="AZ94" s="4"/>
    </row>
    <row r="95" spans="1:52" s="25" customFormat="1">
      <c r="A95" s="4"/>
      <c r="B95" s="21">
        <f t="shared" si="2"/>
        <v>83</v>
      </c>
      <c r="C95" s="6" t="s">
        <v>407</v>
      </c>
      <c r="D95" s="6" t="s">
        <v>476</v>
      </c>
      <c r="E95" s="8"/>
      <c r="F95" s="7" t="s">
        <v>318</v>
      </c>
      <c r="G95" s="7" t="str">
        <f t="shared" si="3"/>
        <v>text</v>
      </c>
      <c r="H95" s="26"/>
      <c r="I95" s="10"/>
      <c r="J95" s="11" t="s">
        <v>549</v>
      </c>
      <c r="L95" s="4"/>
      <c r="M95" s="4"/>
      <c r="N95" s="78"/>
      <c r="O95" s="78"/>
      <c r="P95" s="78" t="str">
        <f t="shared" si="7"/>
        <v>,ass0050_ifuku_chakudatsu</v>
      </c>
      <c r="Q95" s="78" t="str">
        <f t="shared" si="8"/>
        <v>TEXT</v>
      </c>
      <c r="R95" s="78" t="str">
        <f t="shared" si="9"/>
        <v/>
      </c>
      <c r="S95" s="78" t="str">
        <f t="shared" si="10"/>
        <v/>
      </c>
      <c r="T95" s="78" t="str">
        <f t="shared" si="11"/>
        <v>-- 衣服の着脱</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milscm_2023_010.azn_202310_backup_merge_dpc_hn.ass0050_ifuku_chakudatsu IS '衣服の着脱';</v>
      </c>
      <c r="AT95" s="4"/>
      <c r="AU95" s="4"/>
      <c r="AV95" s="4"/>
      <c r="AW95" s="4"/>
      <c r="AX95" s="4"/>
      <c r="AY95" s="4"/>
      <c r="AZ95" s="4"/>
    </row>
    <row r="96" spans="1:52" s="25" customFormat="1">
      <c r="A96" s="4"/>
      <c r="B96" s="21">
        <f t="shared" si="2"/>
        <v>84</v>
      </c>
      <c r="C96" s="13" t="s">
        <v>409</v>
      </c>
      <c r="D96" s="13" t="s">
        <v>477</v>
      </c>
      <c r="E96" s="7"/>
      <c r="F96" s="7" t="s">
        <v>318</v>
      </c>
      <c r="G96" s="7" t="str">
        <f t="shared" si="3"/>
        <v>text</v>
      </c>
      <c r="H96" s="58"/>
      <c r="I96" s="23"/>
      <c r="J96" s="24" t="s">
        <v>551</v>
      </c>
      <c r="L96" s="4"/>
      <c r="M96" s="4"/>
      <c r="N96" s="78"/>
      <c r="O96" s="78"/>
      <c r="P96" s="78" t="str">
        <f t="shared" si="7"/>
        <v>,ass0050_shinryo_shiji</v>
      </c>
      <c r="Q96" s="78" t="str">
        <f t="shared" si="8"/>
        <v>TEXT</v>
      </c>
      <c r="R96" s="78" t="str">
        <f t="shared" si="9"/>
        <v/>
      </c>
      <c r="S96" s="78" t="str">
        <f t="shared" si="10"/>
        <v/>
      </c>
      <c r="T96" s="78" t="str">
        <f t="shared" si="11"/>
        <v>-- 診療・療養上の指示が通じる</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milscm_2023_010.azn_202310_backup_merge_dpc_hn.ass0050_shinryo_shiji IS '診療・療養上の指示が通じる';</v>
      </c>
      <c r="AT96" s="4"/>
      <c r="AU96" s="4"/>
      <c r="AV96" s="4"/>
      <c r="AW96" s="4"/>
      <c r="AX96" s="4"/>
      <c r="AY96" s="4"/>
      <c r="AZ96" s="4"/>
    </row>
    <row r="97" spans="1:52" s="25" customFormat="1">
      <c r="A97" s="4"/>
      <c r="B97" s="21">
        <f t="shared" si="2"/>
        <v>85</v>
      </c>
      <c r="C97" s="13" t="s">
        <v>411</v>
      </c>
      <c r="D97" s="13" t="s">
        <v>478</v>
      </c>
      <c r="E97" s="7"/>
      <c r="F97" s="7" t="s">
        <v>318</v>
      </c>
      <c r="G97" s="7" t="str">
        <f t="shared" si="3"/>
        <v>text</v>
      </c>
      <c r="H97" s="58"/>
      <c r="I97" s="23"/>
      <c r="J97" s="24" t="s">
        <v>552</v>
      </c>
      <c r="L97" s="4"/>
      <c r="M97" s="4"/>
      <c r="N97" s="78"/>
      <c r="O97" s="78"/>
      <c r="P97" s="78" t="str">
        <f t="shared" si="7"/>
        <v>,ass0050_kiken_kodo</v>
      </c>
      <c r="Q97" s="78" t="str">
        <f t="shared" si="8"/>
        <v>TEXT</v>
      </c>
      <c r="R97" s="78" t="str">
        <f t="shared" si="9"/>
        <v/>
      </c>
      <c r="S97" s="78" t="str">
        <f t="shared" si="10"/>
        <v/>
      </c>
      <c r="T97" s="78" t="str">
        <f t="shared" si="11"/>
        <v>-- 危険行動</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milscm_2023_010.azn_202310_backup_merge_dpc_hn.ass0050_kiken_kodo IS '危険行動';</v>
      </c>
      <c r="AT97" s="4"/>
      <c r="AU97" s="4"/>
      <c r="AV97" s="4"/>
      <c r="AW97" s="4"/>
      <c r="AX97" s="4"/>
      <c r="AY97" s="4"/>
      <c r="AZ97" s="4"/>
    </row>
    <row r="98" spans="1:52" s="25" customFormat="1" ht="37.5">
      <c r="A98" s="4"/>
      <c r="B98" s="21">
        <f t="shared" si="2"/>
        <v>86</v>
      </c>
      <c r="C98" s="13" t="s">
        <v>399</v>
      </c>
      <c r="D98" s="13" t="s">
        <v>479</v>
      </c>
      <c r="E98" s="7"/>
      <c r="F98" s="7" t="s">
        <v>318</v>
      </c>
      <c r="G98" s="7" t="str">
        <f t="shared" si="3"/>
        <v>text</v>
      </c>
      <c r="H98" s="58"/>
      <c r="I98" s="23"/>
      <c r="J98" s="24" t="s">
        <v>548</v>
      </c>
      <c r="L98" s="4"/>
      <c r="M98" s="4"/>
      <c r="N98" s="78"/>
      <c r="O98" s="78"/>
      <c r="P98" s="78" t="str">
        <f t="shared" si="7"/>
        <v>,ass0051_negaeri</v>
      </c>
      <c r="Q98" s="78" t="str">
        <f t="shared" si="8"/>
        <v>TEXT</v>
      </c>
      <c r="R98" s="78" t="str">
        <f t="shared" si="9"/>
        <v/>
      </c>
      <c r="S98" s="78" t="str">
        <f t="shared" si="10"/>
        <v/>
      </c>
      <c r="T98" s="78" t="str">
        <f t="shared" si="11"/>
        <v>-- 寝返り</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milscm_2023_010.azn_202310_backup_merge_dpc_hn.ass0051_negaeri IS '寝返り';</v>
      </c>
      <c r="AT98" s="4"/>
      <c r="AU98" s="4"/>
      <c r="AV98" s="4"/>
      <c r="AW98" s="4"/>
      <c r="AX98" s="4"/>
      <c r="AY98" s="4"/>
      <c r="AZ98" s="4"/>
    </row>
    <row r="99" spans="1:52" s="25" customFormat="1">
      <c r="A99" s="4"/>
      <c r="B99" s="21">
        <f t="shared" si="2"/>
        <v>87</v>
      </c>
      <c r="C99" s="6" t="s">
        <v>414</v>
      </c>
      <c r="D99" s="6" t="s">
        <v>480</v>
      </c>
      <c r="E99" s="8"/>
      <c r="F99" s="7" t="s">
        <v>318</v>
      </c>
      <c r="G99" s="7" t="str">
        <f t="shared" si="3"/>
        <v>text</v>
      </c>
      <c r="H99" s="26"/>
      <c r="I99" s="10"/>
      <c r="J99" s="11" t="s">
        <v>553</v>
      </c>
      <c r="L99" s="4"/>
      <c r="M99" s="4"/>
      <c r="N99" s="78"/>
      <c r="O99" s="78"/>
      <c r="P99" s="78" t="str">
        <f t="shared" si="7"/>
        <v>,ass0051_ijo_kanja</v>
      </c>
      <c r="Q99" s="78" t="str">
        <f t="shared" si="8"/>
        <v>TEXT</v>
      </c>
      <c r="R99" s="78" t="str">
        <f t="shared" si="9"/>
        <v/>
      </c>
      <c r="S99" s="78" t="str">
        <f t="shared" si="10"/>
        <v/>
      </c>
      <c r="T99" s="78" t="str">
        <f t="shared" si="11"/>
        <v>-- 移乗（患者の状態）</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milscm_2023_010.azn_202310_backup_merge_dpc_hn.ass0051_ijo_kanja IS '移乗（患者の状態）';</v>
      </c>
      <c r="AT99" s="4"/>
      <c r="AU99" s="4"/>
      <c r="AV99" s="4"/>
      <c r="AW99" s="4"/>
      <c r="AX99" s="4"/>
      <c r="AY99" s="4"/>
      <c r="AZ99" s="4"/>
    </row>
    <row r="100" spans="1:52" s="25" customFormat="1" ht="31.5">
      <c r="A100" s="4"/>
      <c r="B100" s="21">
        <f t="shared" si="2"/>
        <v>88</v>
      </c>
      <c r="C100" s="13" t="s">
        <v>416</v>
      </c>
      <c r="D100" s="13" t="s">
        <v>481</v>
      </c>
      <c r="E100" s="7"/>
      <c r="F100" s="7" t="s">
        <v>318</v>
      </c>
      <c r="G100" s="7" t="str">
        <f t="shared" si="3"/>
        <v>text</v>
      </c>
      <c r="H100" s="58"/>
      <c r="I100" s="23"/>
      <c r="J100" s="24" t="s">
        <v>554</v>
      </c>
      <c r="L100" s="4"/>
      <c r="M100" s="4"/>
      <c r="N100" s="78"/>
      <c r="O100" s="78"/>
      <c r="P100" s="78" t="str">
        <f t="shared" si="7"/>
        <v>,ass0051_koku_seiketsu_kanja</v>
      </c>
      <c r="Q100" s="78" t="str">
        <f t="shared" si="8"/>
        <v>TEXT</v>
      </c>
      <c r="R100" s="78" t="str">
        <f t="shared" si="9"/>
        <v/>
      </c>
      <c r="S100" s="78" t="str">
        <f t="shared" si="10"/>
        <v/>
      </c>
      <c r="T100" s="78" t="str">
        <f t="shared" si="11"/>
        <v>-- 口腔清潔（患者の状態）</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milscm_2023_010.azn_202310_backup_merge_dpc_hn.ass0051_koku_seiketsu_kanja IS '口腔清潔（患者の状態）';</v>
      </c>
      <c r="AT100" s="4"/>
      <c r="AU100" s="4"/>
      <c r="AV100" s="4"/>
      <c r="AW100" s="4"/>
      <c r="AX100" s="4"/>
      <c r="AY100" s="4"/>
      <c r="AZ100" s="4"/>
    </row>
    <row r="101" spans="1:52" s="25" customFormat="1" ht="31.5">
      <c r="A101" s="4"/>
      <c r="B101" s="21">
        <f t="shared" si="2"/>
        <v>89</v>
      </c>
      <c r="C101" s="6" t="s">
        <v>418</v>
      </c>
      <c r="D101" s="6" t="s">
        <v>482</v>
      </c>
      <c r="E101" s="8"/>
      <c r="F101" s="7" t="s">
        <v>318</v>
      </c>
      <c r="G101" s="7" t="str">
        <f t="shared" si="3"/>
        <v>text</v>
      </c>
      <c r="H101" s="26"/>
      <c r="I101" s="10"/>
      <c r="J101" s="11" t="s">
        <v>553</v>
      </c>
      <c r="L101" s="4"/>
      <c r="M101" s="4"/>
      <c r="N101" s="78"/>
      <c r="O101" s="78"/>
      <c r="P101" s="78" t="str">
        <f t="shared" si="7"/>
        <v>,ass0051_shokuji_sesshu_kanja</v>
      </c>
      <c r="Q101" s="78" t="str">
        <f t="shared" si="8"/>
        <v>TEXT</v>
      </c>
      <c r="R101" s="78" t="str">
        <f t="shared" si="9"/>
        <v/>
      </c>
      <c r="S101" s="78" t="str">
        <f t="shared" si="10"/>
        <v/>
      </c>
      <c r="T101" s="78" t="str">
        <f t="shared" si="11"/>
        <v>-- 食事摂取（患者の状態）</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milscm_2023_010.azn_202310_backup_merge_dpc_hn.ass0051_shokuji_sesshu_kanja IS '食事摂取（患者の状態）';</v>
      </c>
      <c r="AT101" s="4"/>
      <c r="AU101" s="4"/>
      <c r="AV101" s="4"/>
      <c r="AW101" s="4"/>
      <c r="AX101" s="4"/>
      <c r="AY101" s="4"/>
      <c r="AZ101" s="4"/>
    </row>
    <row r="102" spans="1:52" s="25" customFormat="1" ht="31.5">
      <c r="A102" s="4"/>
      <c r="B102" s="21">
        <f t="shared" si="2"/>
        <v>90</v>
      </c>
      <c r="C102" s="13" t="s">
        <v>420</v>
      </c>
      <c r="D102" s="13" t="s">
        <v>483</v>
      </c>
      <c r="E102" s="7"/>
      <c r="F102" s="7" t="s">
        <v>318</v>
      </c>
      <c r="G102" s="7" t="str">
        <f t="shared" si="3"/>
        <v>text</v>
      </c>
      <c r="H102" s="58"/>
      <c r="I102" s="23"/>
      <c r="J102" s="24" t="s">
        <v>553</v>
      </c>
      <c r="L102" s="4"/>
      <c r="M102" s="4"/>
      <c r="N102" s="78"/>
      <c r="O102" s="78"/>
      <c r="P102" s="78" t="str">
        <f t="shared" si="7"/>
        <v>,ass0051_ifuku_chakudatsu_kanja</v>
      </c>
      <c r="Q102" s="78" t="str">
        <f t="shared" si="8"/>
        <v>TEXT</v>
      </c>
      <c r="R102" s="78" t="str">
        <f t="shared" si="9"/>
        <v/>
      </c>
      <c r="S102" s="78" t="str">
        <f t="shared" si="10"/>
        <v/>
      </c>
      <c r="T102" s="78" t="str">
        <f t="shared" si="11"/>
        <v>-- 衣服の着脱（患者の状態）</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409</v>
      </c>
      <c r="D103" s="6" t="s">
        <v>484</v>
      </c>
      <c r="E103" s="8"/>
      <c r="F103" s="7" t="s">
        <v>318</v>
      </c>
      <c r="G103" s="7" t="str">
        <f t="shared" si="3"/>
        <v>text</v>
      </c>
      <c r="H103" s="26"/>
      <c r="I103" s="10"/>
      <c r="J103" s="11" t="s">
        <v>551</v>
      </c>
      <c r="L103" s="4"/>
      <c r="M103" s="4"/>
      <c r="N103" s="78"/>
      <c r="O103" s="78"/>
      <c r="P103" s="78" t="str">
        <f t="shared" si="7"/>
        <v>,ass0051_shinryo_shiji</v>
      </c>
      <c r="Q103" s="78" t="str">
        <f t="shared" si="8"/>
        <v>TEXT</v>
      </c>
      <c r="R103" s="78" t="str">
        <f t="shared" si="9"/>
        <v/>
      </c>
      <c r="S103" s="78" t="str">
        <f t="shared" si="10"/>
        <v/>
      </c>
      <c r="T103" s="78" t="str">
        <f t="shared" si="11"/>
        <v>-- 診療・療養上の指示が通じる</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milscm_2023_010.azn_202310_backup_merge_dpc_hn.ass0051_shinryo_shiji IS '診療・療養上の指示が通じる';</v>
      </c>
      <c r="AT103" s="4"/>
      <c r="AU103" s="4"/>
      <c r="AV103" s="4"/>
      <c r="AW103" s="4"/>
      <c r="AX103" s="4"/>
      <c r="AY103" s="4"/>
      <c r="AZ103" s="4"/>
    </row>
    <row r="104" spans="1:52" s="25" customFormat="1">
      <c r="A104" s="4"/>
      <c r="B104" s="21">
        <f t="shared" si="2"/>
        <v>92</v>
      </c>
      <c r="C104" s="6" t="s">
        <v>411</v>
      </c>
      <c r="D104" s="6" t="s">
        <v>485</v>
      </c>
      <c r="E104" s="8"/>
      <c r="F104" s="7" t="s">
        <v>318</v>
      </c>
      <c r="G104" s="7" t="str">
        <f t="shared" si="3"/>
        <v>text</v>
      </c>
      <c r="H104" s="26"/>
      <c r="I104" s="10"/>
      <c r="J104" s="11" t="s">
        <v>552</v>
      </c>
      <c r="L104" s="4"/>
      <c r="M104" s="4"/>
      <c r="N104" s="78"/>
      <c r="O104" s="78"/>
      <c r="P104" s="78" t="str">
        <f t="shared" si="7"/>
        <v>,ass0051_kiken_kodo</v>
      </c>
      <c r="Q104" s="78" t="str">
        <f t="shared" si="8"/>
        <v>TEXT</v>
      </c>
      <c r="R104" s="78" t="str">
        <f t="shared" si="9"/>
        <v/>
      </c>
      <c r="S104" s="78" t="str">
        <f t="shared" si="10"/>
        <v/>
      </c>
      <c r="T104" s="78" t="str">
        <f t="shared" si="11"/>
        <v>-- 危険行動</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milscm_2023_010.azn_202310_backup_merge_dpc_hn.ass0051_kiken_kodo IS '危険行動';</v>
      </c>
      <c r="AT104" s="4"/>
      <c r="AU104" s="4"/>
      <c r="AV104" s="4"/>
      <c r="AW104" s="4"/>
      <c r="AX104" s="4"/>
      <c r="AY104" s="4"/>
      <c r="AZ104" s="4"/>
    </row>
    <row r="105" spans="1:52" s="25" customFormat="1">
      <c r="A105" s="4"/>
      <c r="B105" s="21">
        <f t="shared" si="2"/>
        <v>93</v>
      </c>
      <c r="C105" s="13" t="s">
        <v>424</v>
      </c>
      <c r="D105" s="13" t="s">
        <v>486</v>
      </c>
      <c r="E105" s="7"/>
      <c r="F105" s="7" t="s">
        <v>318</v>
      </c>
      <c r="G105" s="7" t="str">
        <f t="shared" si="3"/>
        <v>text</v>
      </c>
      <c r="H105" s="58"/>
      <c r="I105" s="23"/>
      <c r="J105" s="24" t="s">
        <v>555</v>
      </c>
      <c r="L105" s="4"/>
      <c r="M105" s="4"/>
      <c r="N105" s="78"/>
      <c r="O105" s="78"/>
      <c r="P105" s="78" t="str">
        <f t="shared" si="7"/>
        <v>,ass0051_ijo_kaijo</v>
      </c>
      <c r="Q105" s="78" t="str">
        <f t="shared" si="8"/>
        <v>TEXT</v>
      </c>
      <c r="R105" s="78" t="str">
        <f t="shared" si="9"/>
        <v/>
      </c>
      <c r="S105" s="78" t="str">
        <f t="shared" si="10"/>
        <v/>
      </c>
      <c r="T105" s="78" t="str">
        <f t="shared" si="11"/>
        <v>-- 移乗（介助の状態）</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milscm_2023_010.azn_202310_backup_merge_dpc_hn.ass0051_ijo_kaijo IS '移乗（介助の状態）';</v>
      </c>
      <c r="AT105" s="4"/>
      <c r="AU105" s="4"/>
      <c r="AV105" s="4"/>
      <c r="AW105" s="4"/>
      <c r="AX105" s="4"/>
      <c r="AY105" s="4"/>
      <c r="AZ105" s="4"/>
    </row>
    <row r="106" spans="1:52" s="25" customFormat="1" ht="31.5">
      <c r="A106" s="4"/>
      <c r="B106" s="21">
        <f t="shared" si="2"/>
        <v>94</v>
      </c>
      <c r="C106" s="6" t="s">
        <v>426</v>
      </c>
      <c r="D106" s="6" t="s">
        <v>487</v>
      </c>
      <c r="E106" s="8"/>
      <c r="F106" s="7" t="s">
        <v>318</v>
      </c>
      <c r="G106" s="7" t="str">
        <f t="shared" si="3"/>
        <v>text</v>
      </c>
      <c r="H106" s="26"/>
      <c r="I106" s="10"/>
      <c r="J106" s="11" t="s">
        <v>555</v>
      </c>
      <c r="L106" s="4"/>
      <c r="M106" s="4"/>
      <c r="N106" s="78"/>
      <c r="O106" s="78"/>
      <c r="P106" s="78" t="str">
        <f t="shared" si="7"/>
        <v>,ass0051_koku_seiketsu_kaijo</v>
      </c>
      <c r="Q106" s="78" t="str">
        <f t="shared" si="8"/>
        <v>TEXT</v>
      </c>
      <c r="R106" s="78" t="str">
        <f t="shared" si="9"/>
        <v/>
      </c>
      <c r="S106" s="78" t="str">
        <f t="shared" si="10"/>
        <v/>
      </c>
      <c r="T106" s="78" t="str">
        <f t="shared" si="11"/>
        <v>-- 口腔清潔（介助の状態）</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milscm_2023_010.azn_202310_backup_merge_dpc_hn.ass0051_koku_seiketsu_kaijo IS '口腔清潔（介助の状態）';</v>
      </c>
      <c r="AT106" s="4"/>
      <c r="AU106" s="4"/>
      <c r="AV106" s="4"/>
      <c r="AW106" s="4"/>
      <c r="AX106" s="4"/>
      <c r="AY106" s="4"/>
      <c r="AZ106" s="4"/>
    </row>
    <row r="107" spans="1:52" s="25" customFormat="1" ht="31.5">
      <c r="A107" s="4"/>
      <c r="B107" s="21">
        <f t="shared" si="2"/>
        <v>95</v>
      </c>
      <c r="C107" s="13" t="s">
        <v>428</v>
      </c>
      <c r="D107" s="13" t="s">
        <v>488</v>
      </c>
      <c r="E107" s="7"/>
      <c r="F107" s="7" t="s">
        <v>318</v>
      </c>
      <c r="G107" s="7" t="str">
        <f t="shared" si="3"/>
        <v>text</v>
      </c>
      <c r="H107" s="58"/>
      <c r="I107" s="23"/>
      <c r="J107" s="24" t="s">
        <v>555</v>
      </c>
      <c r="L107" s="4"/>
      <c r="M107" s="4"/>
      <c r="N107" s="78"/>
      <c r="O107" s="78"/>
      <c r="P107" s="78" t="str">
        <f t="shared" si="7"/>
        <v>,ass0051_shokuji_sesshu_kaijo</v>
      </c>
      <c r="Q107" s="78" t="str">
        <f t="shared" si="8"/>
        <v>TEXT</v>
      </c>
      <c r="R107" s="78" t="str">
        <f t="shared" si="9"/>
        <v/>
      </c>
      <c r="S107" s="78" t="str">
        <f t="shared" si="10"/>
        <v/>
      </c>
      <c r="T107" s="78" t="str">
        <f t="shared" si="11"/>
        <v>-- 食事摂取（介助の状態）</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milscm_2023_010.azn_202310_backup_merge_dpc_hn.ass0051_shokuji_sesshu_kaijo IS '食事摂取（介助の状態）';</v>
      </c>
      <c r="AT107" s="4"/>
      <c r="AU107" s="4"/>
      <c r="AV107" s="4"/>
      <c r="AW107" s="4"/>
      <c r="AX107" s="4"/>
      <c r="AY107" s="4"/>
      <c r="AZ107" s="4"/>
    </row>
    <row r="108" spans="1:52" s="25" customFormat="1" ht="31.5">
      <c r="A108" s="4"/>
      <c r="B108" s="21">
        <f t="shared" si="2"/>
        <v>96</v>
      </c>
      <c r="C108" s="6" t="s">
        <v>430</v>
      </c>
      <c r="D108" s="6" t="s">
        <v>489</v>
      </c>
      <c r="E108" s="8"/>
      <c r="F108" s="7" t="s">
        <v>318</v>
      </c>
      <c r="G108" s="7" t="str">
        <f t="shared" si="3"/>
        <v>text</v>
      </c>
      <c r="H108" s="26"/>
      <c r="I108" s="10"/>
      <c r="J108" s="11" t="s">
        <v>555</v>
      </c>
      <c r="L108" s="4"/>
      <c r="M108" s="4"/>
      <c r="N108" s="78"/>
      <c r="O108" s="78"/>
      <c r="P108" s="78" t="str">
        <f t="shared" si="7"/>
        <v>,ass0051_ifuku_chakudatsu_kaijo</v>
      </c>
      <c r="Q108" s="78" t="str">
        <f t="shared" si="8"/>
        <v>TEXT</v>
      </c>
      <c r="R108" s="78" t="str">
        <f t="shared" si="9"/>
        <v/>
      </c>
      <c r="S108" s="78" t="str">
        <f t="shared" si="10"/>
        <v/>
      </c>
      <c r="T108" s="78" t="str">
        <f t="shared" si="11"/>
        <v>-- 衣服の着脱（介助の状態）</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milscm_2023_010.azn_202310_backup_merge_dpc_hn.ass0051_ifuku_chakudatsu_kaijo IS '衣服の着脱（介助の状態）';</v>
      </c>
      <c r="AT108" s="4"/>
      <c r="AU108" s="4"/>
      <c r="AV108" s="4"/>
      <c r="AW108" s="4"/>
      <c r="AX108" s="4"/>
      <c r="AY108" s="4"/>
      <c r="AZ108" s="4"/>
    </row>
    <row r="109" spans="1:52" s="25" customFormat="1" ht="168.75">
      <c r="A109" s="4"/>
      <c r="B109" s="21">
        <f t="shared" si="2"/>
        <v>97</v>
      </c>
      <c r="C109" s="13" t="s">
        <v>365</v>
      </c>
      <c r="D109" s="13" t="s">
        <v>490</v>
      </c>
      <c r="E109" s="7"/>
      <c r="F109" s="7" t="s">
        <v>318</v>
      </c>
      <c r="G109" s="7" t="str">
        <f t="shared" si="3"/>
        <v>text</v>
      </c>
      <c r="H109" s="58"/>
      <c r="I109" s="23"/>
      <c r="J109" s="24" t="s">
        <v>557</v>
      </c>
      <c r="L109" s="4"/>
      <c r="M109" s="4"/>
      <c r="N109" s="78"/>
      <c r="O109" s="78"/>
      <c r="P109" s="78" t="str">
        <f t="shared" si="7"/>
        <v>,ass0060_sosho_shochi</v>
      </c>
      <c r="Q109" s="78" t="str">
        <f t="shared" si="8"/>
        <v>TEXT</v>
      </c>
      <c r="R109" s="78" t="str">
        <f t="shared" si="9"/>
        <v/>
      </c>
      <c r="S109" s="78" t="str">
        <f t="shared" si="10"/>
        <v/>
      </c>
      <c r="T109" s="78" t="str">
        <f t="shared" si="11"/>
        <v>-- 創傷処置</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milscm_2023_010.azn_202310_backup_merge_dpc_hn.ass0060_sosho_shochi IS '創傷処置';</v>
      </c>
      <c r="AT109" s="4"/>
      <c r="AU109" s="4"/>
      <c r="AV109" s="4"/>
      <c r="AW109" s="4"/>
      <c r="AX109" s="4"/>
      <c r="AY109" s="4"/>
      <c r="AZ109" s="4"/>
    </row>
    <row r="110" spans="1:52" s="25" customFormat="1">
      <c r="A110" s="4"/>
      <c r="B110" s="21">
        <f t="shared" si="2"/>
        <v>98</v>
      </c>
      <c r="C110" s="6" t="s">
        <v>491</v>
      </c>
      <c r="D110" s="6" t="s">
        <v>492</v>
      </c>
      <c r="E110" s="8"/>
      <c r="F110" s="7" t="s">
        <v>318</v>
      </c>
      <c r="G110" s="7" t="str">
        <f t="shared" si="3"/>
        <v>text</v>
      </c>
      <c r="H110" s="26"/>
      <c r="I110" s="10"/>
      <c r="J110" s="11" t="s">
        <v>545</v>
      </c>
      <c r="L110" s="4"/>
      <c r="M110" s="4"/>
      <c r="N110" s="78"/>
      <c r="O110" s="78"/>
      <c r="P110" s="78" t="str">
        <f t="shared" si="7"/>
        <v>,ass0060_sosei</v>
      </c>
      <c r="Q110" s="78" t="str">
        <f t="shared" si="8"/>
        <v>TEXT</v>
      </c>
      <c r="R110" s="78" t="str">
        <f t="shared" si="9"/>
        <v/>
      </c>
      <c r="S110" s="78" t="str">
        <f t="shared" si="10"/>
        <v/>
      </c>
      <c r="T110" s="78" t="str">
        <f t="shared" si="11"/>
        <v>-- 蘇生術の施行</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milscm_2023_010.azn_202310_backup_merge_dpc_hn.ass0060_sosei IS '蘇生術の施行';</v>
      </c>
      <c r="AT110" s="4"/>
      <c r="AU110" s="4"/>
      <c r="AV110" s="4"/>
      <c r="AW110" s="4"/>
      <c r="AX110" s="4"/>
      <c r="AY110" s="4"/>
      <c r="AZ110" s="4"/>
    </row>
    <row r="111" spans="1:52" s="25" customFormat="1">
      <c r="A111" s="4"/>
      <c r="B111" s="21">
        <f t="shared" si="2"/>
        <v>99</v>
      </c>
      <c r="C111" s="13" t="s">
        <v>367</v>
      </c>
      <c r="D111" s="13" t="s">
        <v>493</v>
      </c>
      <c r="E111" s="7"/>
      <c r="F111" s="7" t="s">
        <v>318</v>
      </c>
      <c r="G111" s="7" t="str">
        <f t="shared" si="3"/>
        <v>text</v>
      </c>
      <c r="H111" s="58"/>
      <c r="I111" s="23"/>
      <c r="J111" s="24" t="s">
        <v>545</v>
      </c>
      <c r="L111" s="4"/>
      <c r="M111" s="4"/>
      <c r="N111" s="78"/>
      <c r="O111" s="78"/>
      <c r="P111" s="78" t="str">
        <f t="shared" si="7"/>
        <v>,ass0060_kokyu_care</v>
      </c>
      <c r="Q111" s="78" t="str">
        <f t="shared" si="8"/>
        <v>TEXT</v>
      </c>
      <c r="R111" s="78" t="str">
        <f t="shared" si="9"/>
        <v/>
      </c>
      <c r="S111" s="78" t="str">
        <f t="shared" si="10"/>
        <v/>
      </c>
      <c r="T111" s="78" t="str">
        <f t="shared" si="11"/>
        <v>-- 呼吸ケア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milscm_2023_010.azn_202310_backup_merge_dpc_hn.ass0060_kokyu_care IS '呼吸ケア';</v>
      </c>
      <c r="AT111" s="4"/>
      <c r="AU111" s="4"/>
      <c r="AV111" s="4"/>
      <c r="AW111" s="4"/>
      <c r="AX111" s="4"/>
      <c r="AY111" s="4"/>
      <c r="AZ111" s="4"/>
    </row>
    <row r="112" spans="1:52" s="25" customFormat="1">
      <c r="A112" s="4"/>
      <c r="B112" s="21">
        <f t="shared" si="2"/>
        <v>100</v>
      </c>
      <c r="C112" s="6" t="s">
        <v>369</v>
      </c>
      <c r="D112" s="6" t="s">
        <v>494</v>
      </c>
      <c r="E112" s="8"/>
      <c r="F112" s="7" t="s">
        <v>318</v>
      </c>
      <c r="G112" s="7" t="str">
        <f t="shared" si="3"/>
        <v>text</v>
      </c>
      <c r="H112" s="26"/>
      <c r="I112" s="10"/>
      <c r="J112" s="11" t="s">
        <v>545</v>
      </c>
      <c r="L112" s="4"/>
      <c r="M112" s="4"/>
      <c r="N112" s="78"/>
      <c r="O112" s="78"/>
      <c r="P112" s="78" t="str">
        <f t="shared" ref="P112:P153" si="12">IF(B112&lt;&gt;1,","&amp;D112,D112)</f>
        <v>,ass0060_tenteki_kanri</v>
      </c>
      <c r="Q112" s="78" t="str">
        <f t="shared" ref="Q112:Q153" si="13">UPPER(G112)</f>
        <v>TEXT</v>
      </c>
      <c r="R112" s="78" t="str">
        <f t="shared" ref="R112:R153" si="14">IF(H112&lt;&gt;"","default "&amp;IF(G112="text","'"&amp;H112&amp;"'",H112),"")</f>
        <v/>
      </c>
      <c r="S112" s="78" t="str">
        <f t="shared" ref="S112:S153" si="15">IF(I112="○","NOT NULL","")</f>
        <v/>
      </c>
      <c r="T112" s="78" t="str">
        <f t="shared" ref="T112:T153" si="16">"-- "&amp;C112</f>
        <v>-- 点滴ライン同時3本以上の管理</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milscm_2023_010.azn_202310_backup_merge_dpc_hn.ass0060_tenteki_kanri IS '点滴ライン同時3本以上の管理';</v>
      </c>
      <c r="AT112" s="4"/>
      <c r="AU112" s="4"/>
      <c r="AV112" s="4"/>
      <c r="AW112" s="4"/>
      <c r="AX112" s="4"/>
      <c r="AY112" s="4"/>
      <c r="AZ112" s="4"/>
    </row>
    <row r="113" spans="1:52" s="25" customFormat="1">
      <c r="A113" s="4"/>
      <c r="B113" s="21">
        <f t="shared" si="2"/>
        <v>101</v>
      </c>
      <c r="C113" s="13" t="s">
        <v>371</v>
      </c>
      <c r="D113" s="13" t="s">
        <v>495</v>
      </c>
      <c r="E113" s="7"/>
      <c r="F113" s="7" t="s">
        <v>318</v>
      </c>
      <c r="G113" s="7" t="str">
        <f t="shared" si="3"/>
        <v>text</v>
      </c>
      <c r="H113" s="58"/>
      <c r="I113" s="23"/>
      <c r="J113" s="24" t="s">
        <v>545</v>
      </c>
      <c r="L113" s="4"/>
      <c r="M113" s="4"/>
      <c r="N113" s="78"/>
      <c r="O113" s="78"/>
      <c r="P113" s="78" t="str">
        <f t="shared" si="12"/>
        <v>,ass0060_shindenzu_kanri</v>
      </c>
      <c r="Q113" s="78" t="str">
        <f t="shared" si="13"/>
        <v>TEXT</v>
      </c>
      <c r="R113" s="78" t="str">
        <f t="shared" si="14"/>
        <v/>
      </c>
      <c r="S113" s="78" t="str">
        <f t="shared" si="15"/>
        <v/>
      </c>
      <c r="T113" s="78" t="str">
        <f t="shared" si="16"/>
        <v>-- 心電図モニターの管理</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milscm_2023_010.azn_202310_backup_merge_dpc_hn.ass0060_shindenzu_kanri IS '心電図モニターの管理';</v>
      </c>
      <c r="AT113" s="4"/>
      <c r="AU113" s="4"/>
      <c r="AV113" s="4"/>
      <c r="AW113" s="4"/>
      <c r="AX113" s="4"/>
      <c r="AY113" s="4"/>
      <c r="AZ113" s="4"/>
    </row>
    <row r="114" spans="1:52" s="25" customFormat="1" ht="31.5">
      <c r="A114" s="4"/>
      <c r="B114" s="21">
        <f t="shared" si="2"/>
        <v>102</v>
      </c>
      <c r="C114" s="13" t="s">
        <v>447</v>
      </c>
      <c r="D114" s="13" t="s">
        <v>496</v>
      </c>
      <c r="E114" s="7"/>
      <c r="F114" s="7" t="s">
        <v>318</v>
      </c>
      <c r="G114" s="7" t="str">
        <f t="shared" si="3"/>
        <v>text</v>
      </c>
      <c r="H114" s="58"/>
      <c r="I114" s="23"/>
      <c r="J114" s="24" t="s">
        <v>545</v>
      </c>
      <c r="L114" s="4"/>
      <c r="M114" s="4"/>
      <c r="N114" s="78"/>
      <c r="O114" s="78"/>
      <c r="P114" s="78" t="str">
        <f t="shared" si="12"/>
        <v>,ass0060_yueki_pump_kanri</v>
      </c>
      <c r="Q114" s="78" t="str">
        <f t="shared" si="13"/>
        <v>TEXT</v>
      </c>
      <c r="R114" s="78" t="str">
        <f t="shared" si="14"/>
        <v/>
      </c>
      <c r="S114" s="78" t="str">
        <f t="shared" si="15"/>
        <v/>
      </c>
      <c r="T114" s="78" t="str">
        <f t="shared" si="16"/>
        <v>-- 輸液ポンプの管理</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milscm_2023_010.azn_202310_backup_merge_dpc_hn.ass0060_yueki_pump_kanri IS '輸液ポンプの管理';</v>
      </c>
      <c r="AT114" s="4"/>
      <c r="AU114" s="4"/>
      <c r="AV114" s="4"/>
      <c r="AW114" s="4"/>
      <c r="AX114" s="4"/>
      <c r="AY114" s="4"/>
      <c r="AZ114" s="4"/>
    </row>
    <row r="115" spans="1:52" s="25" customFormat="1">
      <c r="A115" s="4"/>
      <c r="B115" s="21">
        <f t="shared" si="2"/>
        <v>103</v>
      </c>
      <c r="C115" s="13" t="s">
        <v>449</v>
      </c>
      <c r="D115" s="13" t="s">
        <v>497</v>
      </c>
      <c r="E115" s="7"/>
      <c r="F115" s="7" t="s">
        <v>318</v>
      </c>
      <c r="G115" s="7" t="str">
        <f t="shared" si="3"/>
        <v>text</v>
      </c>
      <c r="H115" s="58"/>
      <c r="I115" s="23"/>
      <c r="J115" s="24" t="s">
        <v>545</v>
      </c>
      <c r="L115" s="4"/>
      <c r="M115" s="4"/>
      <c r="N115" s="78"/>
      <c r="O115" s="78"/>
      <c r="P115" s="78" t="str">
        <f t="shared" si="12"/>
        <v>,ass0060_domyaku_sokutei</v>
      </c>
      <c r="Q115" s="78" t="str">
        <f t="shared" si="13"/>
        <v>TEXT</v>
      </c>
      <c r="R115" s="78" t="str">
        <f t="shared" si="14"/>
        <v/>
      </c>
      <c r="S115" s="78" t="str">
        <f t="shared" si="15"/>
        <v/>
      </c>
      <c r="T115" s="78" t="str">
        <f t="shared" si="16"/>
        <v>-- 動脈圧測定（動脈ライン）</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milscm_2023_010.azn_202310_backup_merge_dpc_hn.ass0060_domyaku_sokutei IS '動脈圧測定（動脈ライン）';</v>
      </c>
      <c r="AT115" s="4"/>
      <c r="AU115" s="4"/>
      <c r="AV115" s="4"/>
      <c r="AW115" s="4"/>
      <c r="AX115" s="4"/>
      <c r="AY115" s="4"/>
      <c r="AZ115" s="4"/>
    </row>
    <row r="116" spans="1:52" s="25" customFormat="1" ht="31.5">
      <c r="A116" s="4"/>
      <c r="B116" s="21">
        <f t="shared" si="2"/>
        <v>104</v>
      </c>
      <c r="C116" s="6" t="s">
        <v>373</v>
      </c>
      <c r="D116" s="6" t="s">
        <v>498</v>
      </c>
      <c r="E116" s="8"/>
      <c r="F116" s="7" t="s">
        <v>318</v>
      </c>
      <c r="G116" s="7" t="str">
        <f t="shared" si="3"/>
        <v>text</v>
      </c>
      <c r="H116" s="26"/>
      <c r="I116" s="10"/>
      <c r="J116" s="11" t="s">
        <v>545</v>
      </c>
      <c r="L116" s="4"/>
      <c r="M116" s="4"/>
      <c r="N116" s="78"/>
      <c r="O116" s="78"/>
      <c r="P116" s="78" t="str">
        <f t="shared" si="12"/>
        <v>,ass0060_syringe_pump_kanri</v>
      </c>
      <c r="Q116" s="78" t="str">
        <f t="shared" si="13"/>
        <v>TEXT</v>
      </c>
      <c r="R116" s="78" t="str">
        <f t="shared" si="14"/>
        <v/>
      </c>
      <c r="S116" s="78" t="str">
        <f t="shared" si="15"/>
        <v/>
      </c>
      <c r="T116" s="78" t="str">
        <f t="shared" si="16"/>
        <v>-- シリンジポンプの管理</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milscm_2023_010.azn_202310_backup_merge_dpc_hn.ass0060_syringe_pump_kanri IS 'シリンジポンプの管理';</v>
      </c>
      <c r="AT116" s="4"/>
      <c r="AU116" s="4"/>
      <c r="AV116" s="4"/>
      <c r="AW116" s="4"/>
      <c r="AX116" s="4"/>
      <c r="AY116" s="4"/>
      <c r="AZ116" s="4"/>
    </row>
    <row r="117" spans="1:52" s="25" customFormat="1" ht="31.5">
      <c r="A117" s="4"/>
      <c r="B117" s="21">
        <f t="shared" si="2"/>
        <v>105</v>
      </c>
      <c r="C117" s="13" t="s">
        <v>452</v>
      </c>
      <c r="D117" s="13" t="s">
        <v>499</v>
      </c>
      <c r="E117" s="7"/>
      <c r="F117" s="7" t="s">
        <v>318</v>
      </c>
      <c r="G117" s="7" t="str">
        <f t="shared" si="3"/>
        <v>text</v>
      </c>
      <c r="H117" s="58"/>
      <c r="I117" s="23"/>
      <c r="J117" s="24" t="s">
        <v>545</v>
      </c>
      <c r="L117" s="4"/>
      <c r="M117" s="4"/>
      <c r="N117" s="78"/>
      <c r="O117" s="78"/>
      <c r="P117" s="78" t="str">
        <f t="shared" si="12"/>
        <v>,ass0060_jomyaku_sokutei</v>
      </c>
      <c r="Q117" s="78" t="str">
        <f t="shared" si="13"/>
        <v>TEXT</v>
      </c>
      <c r="R117" s="78" t="str">
        <f t="shared" si="14"/>
        <v/>
      </c>
      <c r="S117" s="78" t="str">
        <f t="shared" si="15"/>
        <v/>
      </c>
      <c r="T117" s="78" t="str">
        <f t="shared" si="16"/>
        <v>-- 中心静脈圧測定（中心静脈ライン）</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milscm_2023_010.azn_202310_backup_merge_dpc_hn.ass0060_jomyaku_sokutei IS '中心静脈圧測定（中心静脈ライン）';</v>
      </c>
      <c r="AT117" s="4"/>
      <c r="AU117" s="4"/>
      <c r="AV117" s="4"/>
      <c r="AW117" s="4"/>
      <c r="AX117" s="4"/>
      <c r="AY117" s="4"/>
      <c r="AZ117" s="4"/>
    </row>
    <row r="118" spans="1:52" s="25" customFormat="1" ht="31.5">
      <c r="A118" s="4"/>
      <c r="B118" s="21">
        <f t="shared" si="2"/>
        <v>106</v>
      </c>
      <c r="C118" s="6" t="s">
        <v>454</v>
      </c>
      <c r="D118" s="6" t="s">
        <v>500</v>
      </c>
      <c r="E118" s="8"/>
      <c r="F118" s="7" t="s">
        <v>318</v>
      </c>
      <c r="G118" s="7" t="str">
        <f t="shared" si="3"/>
        <v>text</v>
      </c>
      <c r="H118" s="26"/>
      <c r="I118" s="10"/>
      <c r="J118" s="11" t="s">
        <v>545</v>
      </c>
      <c r="L118" s="4"/>
      <c r="M118" s="4"/>
      <c r="N118" s="78"/>
      <c r="O118" s="78"/>
      <c r="P118" s="78" t="str">
        <f t="shared" si="12"/>
        <v>,ass0060_jinko_kokyuki_kanri</v>
      </c>
      <c r="Q118" s="78" t="str">
        <f t="shared" si="13"/>
        <v>TEXT</v>
      </c>
      <c r="R118" s="78" t="str">
        <f t="shared" si="14"/>
        <v/>
      </c>
      <c r="S118" s="78" t="str">
        <f t="shared" si="15"/>
        <v/>
      </c>
      <c r="T118" s="78" t="str">
        <f t="shared" si="16"/>
        <v>-- 人工呼吸器の管理</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milscm_2023_010.azn_202310_backup_merge_dpc_hn.ass0060_jinko_kokyuki_kanri IS '人工呼吸器の管理';</v>
      </c>
      <c r="AT118" s="4"/>
      <c r="AU118" s="4"/>
      <c r="AV118" s="4"/>
      <c r="AW118" s="4"/>
      <c r="AX118" s="4"/>
      <c r="AY118" s="4"/>
      <c r="AZ118" s="4"/>
    </row>
    <row r="119" spans="1:52" s="25" customFormat="1" ht="31.5">
      <c r="A119" s="4"/>
      <c r="B119" s="21">
        <f t="shared" si="2"/>
        <v>107</v>
      </c>
      <c r="C119" s="13" t="s">
        <v>375</v>
      </c>
      <c r="D119" s="13" t="s">
        <v>501</v>
      </c>
      <c r="E119" s="7"/>
      <c r="F119" s="7" t="s">
        <v>318</v>
      </c>
      <c r="G119" s="7" t="str">
        <f t="shared" si="3"/>
        <v>text</v>
      </c>
      <c r="H119" s="58"/>
      <c r="I119" s="23"/>
      <c r="J119" s="24" t="s">
        <v>545</v>
      </c>
      <c r="L119" s="4"/>
      <c r="M119" s="4"/>
      <c r="N119" s="78"/>
      <c r="O119" s="78"/>
      <c r="P119" s="78" t="str">
        <f t="shared" si="12"/>
        <v>,ass0060_blood_products_kanri</v>
      </c>
      <c r="Q119" s="78" t="str">
        <f t="shared" si="13"/>
        <v>TEXT</v>
      </c>
      <c r="R119" s="78" t="str">
        <f t="shared" si="14"/>
        <v/>
      </c>
      <c r="S119" s="78" t="str">
        <f t="shared" si="15"/>
        <v/>
      </c>
      <c r="T119" s="78" t="str">
        <f t="shared" si="16"/>
        <v>-- 輸血や血液製剤の管理</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milscm_2023_010.azn_202310_backup_merge_dpc_hn.ass0060_blood_products_kanri IS '輸血や血液製剤の管理';</v>
      </c>
      <c r="AT119" s="4"/>
      <c r="AU119" s="4"/>
      <c r="AV119" s="4"/>
      <c r="AW119" s="4"/>
      <c r="AX119" s="4"/>
      <c r="AY119" s="4"/>
      <c r="AZ119" s="4"/>
    </row>
    <row r="120" spans="1:52" s="25" customFormat="1" ht="31.5">
      <c r="A120" s="4"/>
      <c r="B120" s="21">
        <f t="shared" si="2"/>
        <v>108</v>
      </c>
      <c r="C120" s="6" t="s">
        <v>457</v>
      </c>
      <c r="D120" s="6" t="s">
        <v>502</v>
      </c>
      <c r="E120" s="8"/>
      <c r="F120" s="7" t="s">
        <v>318</v>
      </c>
      <c r="G120" s="7" t="str">
        <f t="shared" si="3"/>
        <v>text</v>
      </c>
      <c r="H120" s="26"/>
      <c r="I120" s="10"/>
      <c r="J120" s="11" t="s">
        <v>545</v>
      </c>
      <c r="L120" s="4"/>
      <c r="M120" s="4"/>
      <c r="N120" s="78"/>
      <c r="O120" s="78"/>
      <c r="P120" s="78" t="str">
        <f t="shared" si="12"/>
        <v>,ass0060_hai_domyaku_sokutei</v>
      </c>
      <c r="Q120" s="78" t="str">
        <f t="shared" si="13"/>
        <v>TEXT</v>
      </c>
      <c r="R120" s="78" t="str">
        <f t="shared" si="14"/>
        <v/>
      </c>
      <c r="S120" s="78" t="str">
        <f t="shared" si="15"/>
        <v/>
      </c>
      <c r="T120" s="78" t="str">
        <f t="shared" si="16"/>
        <v>-- 肺動脈圧測定（スワンガンツカテーテル）</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459</v>
      </c>
      <c r="D121" s="13" t="s">
        <v>503</v>
      </c>
      <c r="E121" s="7"/>
      <c r="F121" s="7" t="s">
        <v>318</v>
      </c>
      <c r="G121" s="7" t="str">
        <f t="shared" si="3"/>
        <v>text</v>
      </c>
      <c r="H121" s="58"/>
      <c r="I121" s="23"/>
      <c r="J121" s="24" t="s">
        <v>545</v>
      </c>
      <c r="L121" s="4"/>
      <c r="M121" s="4"/>
      <c r="N121" s="78"/>
      <c r="O121" s="78"/>
      <c r="P121" s="78" t="str">
        <f t="shared" si="12"/>
        <v>,ass0060_special_chiryo</v>
      </c>
      <c r="Q121" s="78" t="str">
        <f t="shared" si="13"/>
        <v>TEXT</v>
      </c>
      <c r="R121" s="78" t="str">
        <f t="shared" si="14"/>
        <v/>
      </c>
      <c r="S121" s="78" t="str">
        <f t="shared" si="15"/>
        <v/>
      </c>
      <c r="T121" s="78" t="str">
        <f t="shared" si="16"/>
        <v>-- 特殊な治療法等</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milscm_2023_010.azn_202310_backup_merge_dpc_hn.ass0060_special_chiryo IS '特殊な治療法等';</v>
      </c>
      <c r="AT121" s="4"/>
      <c r="AU121" s="4"/>
      <c r="AV121" s="4"/>
      <c r="AW121" s="4"/>
      <c r="AX121" s="4"/>
      <c r="AY121" s="4"/>
      <c r="AZ121" s="4"/>
    </row>
    <row r="122" spans="1:52" s="25" customFormat="1" ht="168.75">
      <c r="A122" s="4"/>
      <c r="B122" s="21">
        <f t="shared" si="2"/>
        <v>110</v>
      </c>
      <c r="C122" s="6" t="s">
        <v>365</v>
      </c>
      <c r="D122" s="6" t="s">
        <v>504</v>
      </c>
      <c r="E122" s="8"/>
      <c r="F122" s="7" t="s">
        <v>318</v>
      </c>
      <c r="G122" s="7" t="str">
        <f t="shared" si="3"/>
        <v>text</v>
      </c>
      <c r="H122" s="26"/>
      <c r="I122" s="10"/>
      <c r="J122" s="11" t="s">
        <v>544</v>
      </c>
      <c r="L122" s="4"/>
      <c r="M122" s="4"/>
      <c r="N122" s="78"/>
      <c r="O122" s="78"/>
      <c r="P122" s="78" t="str">
        <f t="shared" si="12"/>
        <v>,ass0061_sosho_shochi</v>
      </c>
      <c r="Q122" s="78" t="str">
        <f t="shared" si="13"/>
        <v>TEXT</v>
      </c>
      <c r="R122" s="78" t="str">
        <f t="shared" si="14"/>
        <v/>
      </c>
      <c r="S122" s="78" t="str">
        <f t="shared" si="15"/>
        <v/>
      </c>
      <c r="T122" s="78" t="str">
        <f t="shared" si="16"/>
        <v>-- 創傷処置</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milscm_2023_010.azn_202310_backup_merge_dpc_hn.ass0061_sosho_shochi IS '創傷処置';</v>
      </c>
      <c r="AT122" s="4"/>
      <c r="AU122" s="4"/>
      <c r="AV122" s="4"/>
      <c r="AW122" s="4"/>
      <c r="AX122" s="4"/>
      <c r="AY122" s="4"/>
      <c r="AZ122" s="4"/>
    </row>
    <row r="123" spans="1:52" s="25" customFormat="1">
      <c r="A123" s="4"/>
      <c r="B123" s="21">
        <f t="shared" si="2"/>
        <v>111</v>
      </c>
      <c r="C123" s="13" t="s">
        <v>491</v>
      </c>
      <c r="D123" s="13" t="s">
        <v>505</v>
      </c>
      <c r="E123" s="7"/>
      <c r="F123" s="7" t="s">
        <v>318</v>
      </c>
      <c r="G123" s="7" t="str">
        <f t="shared" si="3"/>
        <v>text</v>
      </c>
      <c r="H123" s="58"/>
      <c r="I123" s="23"/>
      <c r="J123" s="24" t="s">
        <v>545</v>
      </c>
      <c r="L123" s="4"/>
      <c r="M123" s="4"/>
      <c r="N123" s="78"/>
      <c r="O123" s="78"/>
      <c r="P123" s="78" t="str">
        <f t="shared" si="12"/>
        <v>,ass0061_sosei</v>
      </c>
      <c r="Q123" s="78" t="str">
        <f t="shared" si="13"/>
        <v>TEXT</v>
      </c>
      <c r="R123" s="78" t="str">
        <f t="shared" si="14"/>
        <v/>
      </c>
      <c r="S123" s="78" t="str">
        <f t="shared" si="15"/>
        <v/>
      </c>
      <c r="T123" s="78" t="str">
        <f t="shared" si="16"/>
        <v>-- 蘇生術の施行</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milscm_2023_010.azn_202310_backup_merge_dpc_hn.ass0061_sosei IS '蘇生術の施行';</v>
      </c>
      <c r="AT123" s="4"/>
      <c r="AU123" s="4"/>
      <c r="AV123" s="4"/>
      <c r="AW123" s="4"/>
      <c r="AX123" s="4"/>
      <c r="AY123" s="4"/>
      <c r="AZ123" s="4"/>
    </row>
    <row r="124" spans="1:52" s="25" customFormat="1" ht="31.5">
      <c r="A124" s="4"/>
      <c r="B124" s="21">
        <f t="shared" si="2"/>
        <v>112</v>
      </c>
      <c r="C124" s="13" t="s">
        <v>506</v>
      </c>
      <c r="D124" s="13" t="s">
        <v>507</v>
      </c>
      <c r="E124" s="7"/>
      <c r="F124" s="7" t="s">
        <v>318</v>
      </c>
      <c r="G124" s="7" t="str">
        <f t="shared" si="3"/>
        <v>text</v>
      </c>
      <c r="H124" s="58"/>
      <c r="I124" s="23"/>
      <c r="J124" s="24" t="s">
        <v>545</v>
      </c>
      <c r="L124" s="4"/>
      <c r="M124" s="4"/>
      <c r="N124" s="78"/>
      <c r="O124" s="78"/>
      <c r="P124" s="78" t="str">
        <f t="shared" si="12"/>
        <v>,ass0061_kokyu_care_respirator_trim</v>
      </c>
      <c r="Q124" s="78" t="str">
        <f t="shared" si="13"/>
        <v>TEXT</v>
      </c>
      <c r="R124" s="78" t="str">
        <f t="shared" si="14"/>
        <v/>
      </c>
      <c r="S124" s="78" t="str">
        <f t="shared" si="15"/>
        <v/>
      </c>
      <c r="T124" s="78" t="str">
        <f t="shared" si="16"/>
        <v>-- 呼吸ケア（喀痰吸引のみの場合及び人工呼吸器の装着の場合を除く）</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508</v>
      </c>
      <c r="D125" s="6" t="s">
        <v>509</v>
      </c>
      <c r="E125" s="8"/>
      <c r="F125" s="7" t="s">
        <v>318</v>
      </c>
      <c r="G125" s="7" t="str">
        <f t="shared" si="3"/>
        <v>text</v>
      </c>
      <c r="H125" s="26"/>
      <c r="I125" s="10"/>
      <c r="J125" s="11" t="s">
        <v>545</v>
      </c>
      <c r="L125" s="4"/>
      <c r="M125" s="4"/>
      <c r="N125" s="78"/>
      <c r="O125" s="78"/>
      <c r="P125" s="78" t="str">
        <f t="shared" si="12"/>
        <v>,ass0061_tenteki_kanri</v>
      </c>
      <c r="Q125" s="78" t="str">
        <f t="shared" si="13"/>
        <v>TEXT</v>
      </c>
      <c r="R125" s="78" t="str">
        <f t="shared" si="14"/>
        <v/>
      </c>
      <c r="S125" s="78" t="str">
        <f t="shared" si="15"/>
        <v/>
      </c>
      <c r="T125" s="78" t="str">
        <f t="shared" si="16"/>
        <v>-- 点滴ライン同時３本以上の管理</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milscm_2023_010.azn_202310_backup_merge_dpc_hn.ass0061_tenteki_kanri IS '点滴ライン同時３本以上の管理';</v>
      </c>
      <c r="AT125" s="4"/>
      <c r="AU125" s="4"/>
      <c r="AV125" s="4"/>
      <c r="AW125" s="4"/>
      <c r="AX125" s="4"/>
      <c r="AY125" s="4"/>
      <c r="AZ125" s="4"/>
    </row>
    <row r="126" spans="1:52" s="25" customFormat="1">
      <c r="A126" s="4"/>
      <c r="B126" s="21">
        <f t="shared" si="2"/>
        <v>114</v>
      </c>
      <c r="C126" s="13" t="s">
        <v>371</v>
      </c>
      <c r="D126" s="13" t="s">
        <v>510</v>
      </c>
      <c r="E126" s="7"/>
      <c r="F126" s="7" t="s">
        <v>318</v>
      </c>
      <c r="G126" s="7" t="str">
        <f t="shared" si="3"/>
        <v>text</v>
      </c>
      <c r="H126" s="58"/>
      <c r="I126" s="23"/>
      <c r="J126" s="24" t="s">
        <v>545</v>
      </c>
      <c r="L126" s="4"/>
      <c r="M126" s="4"/>
      <c r="N126" s="78"/>
      <c r="O126" s="78"/>
      <c r="P126" s="78" t="str">
        <f t="shared" si="12"/>
        <v>,ass0061_shindenzu_kanri</v>
      </c>
      <c r="Q126" s="78" t="str">
        <f t="shared" si="13"/>
        <v>TEXT</v>
      </c>
      <c r="R126" s="78" t="str">
        <f t="shared" si="14"/>
        <v/>
      </c>
      <c r="S126" s="78" t="str">
        <f t="shared" si="15"/>
        <v/>
      </c>
      <c r="T126" s="78" t="str">
        <f t="shared" si="16"/>
        <v>-- 心電図モニターの管理</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milscm_2023_010.azn_202310_backup_merge_dpc_hn.ass0061_shindenzu_kanri IS '心電図モニターの管理';</v>
      </c>
      <c r="AT126" s="4"/>
      <c r="AU126" s="4"/>
      <c r="AV126" s="4"/>
      <c r="AW126" s="4"/>
      <c r="AX126" s="4"/>
      <c r="AY126" s="4"/>
      <c r="AZ126" s="4"/>
    </row>
    <row r="127" spans="1:52" s="25" customFormat="1" ht="31.5">
      <c r="A127" s="4"/>
      <c r="B127" s="21">
        <f t="shared" si="2"/>
        <v>115</v>
      </c>
      <c r="C127" s="13" t="s">
        <v>447</v>
      </c>
      <c r="D127" s="13" t="s">
        <v>511</v>
      </c>
      <c r="E127" s="7"/>
      <c r="F127" s="7" t="s">
        <v>318</v>
      </c>
      <c r="G127" s="7" t="str">
        <f t="shared" si="3"/>
        <v>text</v>
      </c>
      <c r="H127" s="58"/>
      <c r="I127" s="23"/>
      <c r="J127" s="24" t="s">
        <v>545</v>
      </c>
      <c r="L127" s="4"/>
      <c r="M127" s="4"/>
      <c r="N127" s="78"/>
      <c r="O127" s="78"/>
      <c r="P127" s="78" t="str">
        <f t="shared" si="12"/>
        <v>,ass0061_yueki_pump_kanri</v>
      </c>
      <c r="Q127" s="78" t="str">
        <f t="shared" si="13"/>
        <v>TEXT</v>
      </c>
      <c r="R127" s="78" t="str">
        <f t="shared" si="14"/>
        <v/>
      </c>
      <c r="S127" s="78" t="str">
        <f t="shared" si="15"/>
        <v/>
      </c>
      <c r="T127" s="78" t="str">
        <f t="shared" si="16"/>
        <v>-- 輸液ポンプの管理</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milscm_2023_010.azn_202310_backup_merge_dpc_hn.ass0061_yueki_pump_kanri IS '輸液ポンプの管理';</v>
      </c>
      <c r="AT127" s="4"/>
      <c r="AU127" s="4"/>
      <c r="AV127" s="4"/>
      <c r="AW127" s="4"/>
      <c r="AX127" s="4"/>
      <c r="AY127" s="4"/>
      <c r="AZ127" s="4"/>
    </row>
    <row r="128" spans="1:52" s="25" customFormat="1">
      <c r="A128" s="4"/>
      <c r="B128" s="21">
        <f t="shared" si="2"/>
        <v>116</v>
      </c>
      <c r="C128" s="13" t="s">
        <v>449</v>
      </c>
      <c r="D128" s="13" t="s">
        <v>512</v>
      </c>
      <c r="E128" s="7"/>
      <c r="F128" s="7" t="s">
        <v>318</v>
      </c>
      <c r="G128" s="7" t="str">
        <f t="shared" si="3"/>
        <v>text</v>
      </c>
      <c r="H128" s="58"/>
      <c r="I128" s="23"/>
      <c r="J128" s="24" t="s">
        <v>545</v>
      </c>
      <c r="L128" s="4"/>
      <c r="M128" s="4"/>
      <c r="N128" s="78"/>
      <c r="O128" s="78"/>
      <c r="P128" s="78" t="str">
        <f t="shared" si="12"/>
        <v>,ass0061_domyaku_sokutei</v>
      </c>
      <c r="Q128" s="78" t="str">
        <f t="shared" si="13"/>
        <v>TEXT</v>
      </c>
      <c r="R128" s="78" t="str">
        <f t="shared" si="14"/>
        <v/>
      </c>
      <c r="S128" s="78" t="str">
        <f t="shared" si="15"/>
        <v/>
      </c>
      <c r="T128" s="78" t="str">
        <f t="shared" si="16"/>
        <v>-- 動脈圧測定（動脈ライン）</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milscm_2023_010.azn_202310_backup_merge_dpc_hn.ass0061_domyaku_sokutei IS '動脈圧測定（動脈ライン）';</v>
      </c>
      <c r="AT128" s="4"/>
      <c r="AU128" s="4"/>
      <c r="AV128" s="4"/>
      <c r="AW128" s="4"/>
      <c r="AX128" s="4"/>
      <c r="AY128" s="4"/>
      <c r="AZ128" s="4"/>
    </row>
    <row r="129" spans="1:52" s="25" customFormat="1" ht="31.5">
      <c r="A129" s="4"/>
      <c r="B129" s="21">
        <f t="shared" si="2"/>
        <v>117</v>
      </c>
      <c r="C129" s="6" t="s">
        <v>373</v>
      </c>
      <c r="D129" s="6" t="s">
        <v>513</v>
      </c>
      <c r="E129" s="8"/>
      <c r="F129" s="7" t="s">
        <v>318</v>
      </c>
      <c r="G129" s="7" t="str">
        <f t="shared" si="3"/>
        <v>text</v>
      </c>
      <c r="H129" s="26"/>
      <c r="I129" s="10"/>
      <c r="J129" s="11" t="s">
        <v>545</v>
      </c>
      <c r="L129" s="4"/>
      <c r="M129" s="4"/>
      <c r="N129" s="78"/>
      <c r="O129" s="78"/>
      <c r="P129" s="78" t="str">
        <f t="shared" si="12"/>
        <v>,ass0061_syringe_pump_kanri</v>
      </c>
      <c r="Q129" s="78" t="str">
        <f t="shared" si="13"/>
        <v>TEXT</v>
      </c>
      <c r="R129" s="78" t="str">
        <f t="shared" si="14"/>
        <v/>
      </c>
      <c r="S129" s="78" t="str">
        <f t="shared" si="15"/>
        <v/>
      </c>
      <c r="T129" s="78" t="str">
        <f t="shared" si="16"/>
        <v>-- シリンジポンプの管理</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milscm_2023_010.azn_202310_backup_merge_dpc_hn.ass0061_syringe_pump_kanri IS 'シリンジポンプの管理';</v>
      </c>
      <c r="AT129" s="4"/>
      <c r="AU129" s="4"/>
      <c r="AV129" s="4"/>
      <c r="AW129" s="4"/>
      <c r="AX129" s="4"/>
      <c r="AY129" s="4"/>
      <c r="AZ129" s="4"/>
    </row>
    <row r="130" spans="1:52" s="25" customFormat="1" ht="31.5">
      <c r="A130" s="4"/>
      <c r="B130" s="21">
        <f t="shared" si="2"/>
        <v>118</v>
      </c>
      <c r="C130" s="13" t="s">
        <v>452</v>
      </c>
      <c r="D130" s="13" t="s">
        <v>514</v>
      </c>
      <c r="E130" s="7"/>
      <c r="F130" s="7" t="s">
        <v>318</v>
      </c>
      <c r="G130" s="7" t="str">
        <f t="shared" si="3"/>
        <v>text</v>
      </c>
      <c r="H130" s="58"/>
      <c r="I130" s="23"/>
      <c r="J130" s="24" t="s">
        <v>545</v>
      </c>
      <c r="L130" s="4"/>
      <c r="M130" s="4"/>
      <c r="N130" s="78"/>
      <c r="O130" s="78"/>
      <c r="P130" s="78" t="str">
        <f t="shared" si="12"/>
        <v>,ass0061_jomyaku_sokutei</v>
      </c>
      <c r="Q130" s="78" t="str">
        <f t="shared" si="13"/>
        <v>TEXT</v>
      </c>
      <c r="R130" s="78" t="str">
        <f t="shared" si="14"/>
        <v/>
      </c>
      <c r="S130" s="78" t="str">
        <f t="shared" si="15"/>
        <v/>
      </c>
      <c r="T130" s="78" t="str">
        <f t="shared" si="16"/>
        <v>-- 中心静脈圧測定（中心静脈ライン）</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milscm_2023_010.azn_202310_backup_merge_dpc_hn.ass0061_jomyaku_sokutei IS '中心静脈圧測定（中心静脈ライン）';</v>
      </c>
      <c r="AT130" s="4"/>
      <c r="AU130" s="4"/>
      <c r="AV130" s="4"/>
      <c r="AW130" s="4"/>
      <c r="AX130" s="4"/>
      <c r="AY130" s="4"/>
      <c r="AZ130" s="4"/>
    </row>
    <row r="131" spans="1:52" s="25" customFormat="1" ht="31.5">
      <c r="A131" s="4"/>
      <c r="B131" s="21">
        <f t="shared" si="2"/>
        <v>119</v>
      </c>
      <c r="C131" s="6" t="s">
        <v>466</v>
      </c>
      <c r="D131" s="6" t="s">
        <v>515</v>
      </c>
      <c r="E131" s="8"/>
      <c r="F131" s="7" t="s">
        <v>318</v>
      </c>
      <c r="G131" s="7" t="str">
        <f t="shared" si="3"/>
        <v>text</v>
      </c>
      <c r="H131" s="26"/>
      <c r="I131" s="10"/>
      <c r="J131" s="11" t="s">
        <v>545</v>
      </c>
      <c r="L131" s="4"/>
      <c r="M131" s="4"/>
      <c r="N131" s="78"/>
      <c r="O131" s="78"/>
      <c r="P131" s="78" t="str">
        <f t="shared" si="12"/>
        <v>,ass0061_jinko_kokyuki_kanri</v>
      </c>
      <c r="Q131" s="78" t="str">
        <f t="shared" si="13"/>
        <v>TEXT</v>
      </c>
      <c r="R131" s="78" t="str">
        <f t="shared" si="14"/>
        <v/>
      </c>
      <c r="S131" s="78" t="str">
        <f t="shared" si="15"/>
        <v/>
      </c>
      <c r="T131" s="78" t="str">
        <f t="shared" si="16"/>
        <v>-- 人工呼吸器の管理</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milscm_2023_010.azn_202310_backup_merge_dpc_hn.ass0061_jinko_kokyuki_kanri IS '人工呼吸器の管理';</v>
      </c>
      <c r="AT131" s="4"/>
      <c r="AU131" s="4"/>
      <c r="AV131" s="4"/>
      <c r="AW131" s="4"/>
      <c r="AX131" s="4"/>
      <c r="AY131" s="4"/>
      <c r="AZ131" s="4"/>
    </row>
    <row r="132" spans="1:52" s="25" customFormat="1" ht="31.5">
      <c r="A132" s="4"/>
      <c r="B132" s="21">
        <f t="shared" si="2"/>
        <v>120</v>
      </c>
      <c r="C132" s="13" t="s">
        <v>375</v>
      </c>
      <c r="D132" s="13" t="s">
        <v>516</v>
      </c>
      <c r="E132" s="7"/>
      <c r="F132" s="7" t="s">
        <v>318</v>
      </c>
      <c r="G132" s="7" t="str">
        <f t="shared" si="3"/>
        <v>text</v>
      </c>
      <c r="H132" s="58"/>
      <c r="I132" s="23"/>
      <c r="J132" s="24" t="s">
        <v>545</v>
      </c>
      <c r="L132" s="4"/>
      <c r="M132" s="4"/>
      <c r="N132" s="78"/>
      <c r="O132" s="78"/>
      <c r="P132" s="78" t="str">
        <f t="shared" si="12"/>
        <v>,ass0061_blood_products_kanri</v>
      </c>
      <c r="Q132" s="78" t="str">
        <f t="shared" si="13"/>
        <v>TEXT</v>
      </c>
      <c r="R132" s="78" t="str">
        <f t="shared" si="14"/>
        <v/>
      </c>
      <c r="S132" s="78" t="str">
        <f t="shared" si="15"/>
        <v/>
      </c>
      <c r="T132" s="78" t="str">
        <f t="shared" si="16"/>
        <v>-- 輸血や血液製剤の管理</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milscm_2023_010.azn_202310_backup_merge_dpc_hn.ass0061_blood_products_kanri IS '輸血や血液製剤の管理';</v>
      </c>
      <c r="AT132" s="4"/>
      <c r="AU132" s="4"/>
      <c r="AV132" s="4"/>
      <c r="AW132" s="4"/>
      <c r="AX132" s="4"/>
      <c r="AY132" s="4"/>
      <c r="AZ132" s="4"/>
    </row>
    <row r="133" spans="1:52" s="25" customFormat="1" ht="31.5">
      <c r="A133" s="4"/>
      <c r="B133" s="21">
        <f t="shared" si="2"/>
        <v>121</v>
      </c>
      <c r="C133" s="6" t="s">
        <v>469</v>
      </c>
      <c r="D133" s="6" t="s">
        <v>517</v>
      </c>
      <c r="E133" s="8"/>
      <c r="F133" s="7" t="s">
        <v>318</v>
      </c>
      <c r="G133" s="7" t="str">
        <f t="shared" si="3"/>
        <v>text</v>
      </c>
      <c r="H133" s="26"/>
      <c r="I133" s="10"/>
      <c r="J133" s="11" t="s">
        <v>545</v>
      </c>
      <c r="L133" s="4"/>
      <c r="M133" s="4"/>
      <c r="N133" s="78"/>
      <c r="O133" s="78"/>
      <c r="P133" s="78" t="str">
        <f t="shared" si="12"/>
        <v>,ass0061_hai_domyaku_sokutei</v>
      </c>
      <c r="Q133" s="78" t="str">
        <f t="shared" si="13"/>
        <v>TEXT</v>
      </c>
      <c r="R133" s="78" t="str">
        <f t="shared" si="14"/>
        <v/>
      </c>
      <c r="S133" s="78" t="str">
        <f t="shared" si="15"/>
        <v/>
      </c>
      <c r="T133" s="78" t="str">
        <f t="shared" si="16"/>
        <v>-- 肺動脈圧測定（スワンガンツカテーテル）</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459</v>
      </c>
      <c r="D134" s="13" t="s">
        <v>518</v>
      </c>
      <c r="E134" s="7"/>
      <c r="F134" s="7" t="s">
        <v>318</v>
      </c>
      <c r="G134" s="7" t="str">
        <f t="shared" si="3"/>
        <v>text</v>
      </c>
      <c r="H134" s="58"/>
      <c r="I134" s="23"/>
      <c r="J134" s="24" t="s">
        <v>545</v>
      </c>
      <c r="L134" s="4"/>
      <c r="M134" s="4"/>
      <c r="N134" s="78"/>
      <c r="O134" s="78"/>
      <c r="P134" s="78" t="str">
        <f t="shared" si="12"/>
        <v>,ass0061_special_chiryo</v>
      </c>
      <c r="Q134" s="78" t="str">
        <f t="shared" si="13"/>
        <v>TEXT</v>
      </c>
      <c r="R134" s="78" t="str">
        <f t="shared" si="14"/>
        <v/>
      </c>
      <c r="S134" s="78" t="str">
        <f t="shared" si="15"/>
        <v/>
      </c>
      <c r="T134" s="78" t="str">
        <f t="shared" si="16"/>
        <v>-- 特殊な治療法等</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milscm_2023_010.azn_202310_backup_merge_dpc_hn.ass0061_special_chiryo IS '特殊な治療法等';</v>
      </c>
      <c r="AT134" s="4"/>
      <c r="AU134" s="4"/>
      <c r="AV134" s="4"/>
      <c r="AW134" s="4"/>
      <c r="AX134" s="4"/>
      <c r="AY134" s="4"/>
      <c r="AZ134" s="4"/>
    </row>
    <row r="135" spans="1:52" s="25" customFormat="1" ht="37.5">
      <c r="A135" s="4"/>
      <c r="B135" s="21">
        <f t="shared" si="2"/>
        <v>123</v>
      </c>
      <c r="C135" s="6" t="s">
        <v>399</v>
      </c>
      <c r="D135" s="6" t="s">
        <v>519</v>
      </c>
      <c r="E135" s="8"/>
      <c r="F135" s="7" t="s">
        <v>318</v>
      </c>
      <c r="G135" s="7" t="str">
        <f t="shared" si="3"/>
        <v>text</v>
      </c>
      <c r="H135" s="26"/>
      <c r="I135" s="10"/>
      <c r="J135" s="11" t="s">
        <v>548</v>
      </c>
      <c r="L135" s="4"/>
      <c r="M135" s="4"/>
      <c r="N135" s="78"/>
      <c r="O135" s="78"/>
      <c r="P135" s="78" t="str">
        <f t="shared" si="12"/>
        <v>,ass0070_negaeri</v>
      </c>
      <c r="Q135" s="78" t="str">
        <f t="shared" si="13"/>
        <v>TEXT</v>
      </c>
      <c r="R135" s="78" t="str">
        <f t="shared" si="14"/>
        <v/>
      </c>
      <c r="S135" s="78" t="str">
        <f t="shared" si="15"/>
        <v/>
      </c>
      <c r="T135" s="78" t="str">
        <f t="shared" si="16"/>
        <v>-- 寝返り</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milscm_2023_010.azn_202310_backup_merge_dpc_hn.ass0070_negaeri IS '寝返り';</v>
      </c>
      <c r="AT135" s="4"/>
      <c r="AU135" s="4"/>
      <c r="AV135" s="4"/>
      <c r="AW135" s="4"/>
      <c r="AX135" s="4"/>
      <c r="AY135" s="4"/>
      <c r="AZ135" s="4"/>
    </row>
    <row r="136" spans="1:52" s="25" customFormat="1">
      <c r="A136" s="4"/>
      <c r="B136" s="21">
        <f t="shared" si="2"/>
        <v>124</v>
      </c>
      <c r="C136" s="13" t="s">
        <v>401</v>
      </c>
      <c r="D136" s="13" t="s">
        <v>520</v>
      </c>
      <c r="E136" s="7"/>
      <c r="F136" s="7" t="s">
        <v>318</v>
      </c>
      <c r="G136" s="7" t="str">
        <f t="shared" si="3"/>
        <v>text</v>
      </c>
      <c r="H136" s="58"/>
      <c r="I136" s="23"/>
      <c r="J136" s="24" t="s">
        <v>549</v>
      </c>
      <c r="L136" s="4"/>
      <c r="M136" s="4"/>
      <c r="N136" s="78"/>
      <c r="O136" s="78"/>
      <c r="P136" s="78" t="str">
        <f t="shared" si="12"/>
        <v>,ass0070_ijo</v>
      </c>
      <c r="Q136" s="78" t="str">
        <f t="shared" si="13"/>
        <v>TEXT</v>
      </c>
      <c r="R136" s="78" t="str">
        <f t="shared" si="14"/>
        <v/>
      </c>
      <c r="S136" s="78" t="str">
        <f t="shared" si="15"/>
        <v/>
      </c>
      <c r="T136" s="78" t="str">
        <f t="shared" si="16"/>
        <v>-- 移乗</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milscm_2023_010.azn_202310_backup_merge_dpc_hn.ass0070_ijo IS '移乗';</v>
      </c>
      <c r="AT136" s="4"/>
      <c r="AU136" s="4"/>
      <c r="AV136" s="4"/>
      <c r="AW136" s="4"/>
      <c r="AX136" s="4"/>
      <c r="AY136" s="4"/>
      <c r="AZ136" s="4"/>
    </row>
    <row r="137" spans="1:52" s="25" customFormat="1">
      <c r="A137" s="4"/>
      <c r="B137" s="21">
        <f t="shared" si="2"/>
        <v>125</v>
      </c>
      <c r="C137" s="13" t="s">
        <v>403</v>
      </c>
      <c r="D137" s="13" t="s">
        <v>521</v>
      </c>
      <c r="E137" s="7"/>
      <c r="F137" s="7" t="s">
        <v>318</v>
      </c>
      <c r="G137" s="7" t="str">
        <f t="shared" si="3"/>
        <v>text</v>
      </c>
      <c r="H137" s="58"/>
      <c r="I137" s="23"/>
      <c r="J137" s="24" t="s">
        <v>550</v>
      </c>
      <c r="L137" s="4"/>
      <c r="M137" s="4"/>
      <c r="N137" s="78"/>
      <c r="O137" s="78"/>
      <c r="P137" s="78" t="str">
        <f t="shared" si="12"/>
        <v>,ass0070_koku_seiketsu</v>
      </c>
      <c r="Q137" s="78" t="str">
        <f t="shared" si="13"/>
        <v>TEXT</v>
      </c>
      <c r="R137" s="78" t="str">
        <f t="shared" si="14"/>
        <v/>
      </c>
      <c r="S137" s="78" t="str">
        <f t="shared" si="15"/>
        <v/>
      </c>
      <c r="T137" s="78" t="str">
        <f t="shared" si="16"/>
        <v>-- 口腔清潔</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milscm_2023_010.azn_202310_backup_merge_dpc_hn.ass0070_koku_seiketsu IS '口腔清潔';</v>
      </c>
      <c r="AT137" s="4"/>
      <c r="AU137" s="4"/>
      <c r="AV137" s="4"/>
      <c r="AW137" s="4"/>
      <c r="AX137" s="4"/>
      <c r="AY137" s="4"/>
      <c r="AZ137" s="4"/>
    </row>
    <row r="138" spans="1:52" s="25" customFormat="1">
      <c r="A138" s="4"/>
      <c r="B138" s="21">
        <f t="shared" si="2"/>
        <v>126</v>
      </c>
      <c r="C138" s="6" t="s">
        <v>405</v>
      </c>
      <c r="D138" s="6" t="s">
        <v>522</v>
      </c>
      <c r="E138" s="8"/>
      <c r="F138" s="7" t="s">
        <v>318</v>
      </c>
      <c r="G138" s="7" t="str">
        <f t="shared" si="3"/>
        <v>text</v>
      </c>
      <c r="H138" s="26"/>
      <c r="I138" s="10"/>
      <c r="J138" s="11" t="s">
        <v>549</v>
      </c>
      <c r="L138" s="4"/>
      <c r="M138" s="4"/>
      <c r="N138" s="78"/>
      <c r="O138" s="78"/>
      <c r="P138" s="78" t="str">
        <f t="shared" si="12"/>
        <v>,ass0070_shokuji_sesshu</v>
      </c>
      <c r="Q138" s="78" t="str">
        <f t="shared" si="13"/>
        <v>TEXT</v>
      </c>
      <c r="R138" s="78" t="str">
        <f t="shared" si="14"/>
        <v/>
      </c>
      <c r="S138" s="78" t="str">
        <f t="shared" si="15"/>
        <v/>
      </c>
      <c r="T138" s="78" t="str">
        <f t="shared" si="16"/>
        <v>-- 食事摂取</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milscm_2023_010.azn_202310_backup_merge_dpc_hn.ass0070_shokuji_sesshu IS '食事摂取';</v>
      </c>
      <c r="AT138" s="4"/>
      <c r="AU138" s="4"/>
      <c r="AV138" s="4"/>
      <c r="AW138" s="4"/>
      <c r="AX138" s="4"/>
      <c r="AY138" s="4"/>
      <c r="AZ138" s="4"/>
    </row>
    <row r="139" spans="1:52" s="25" customFormat="1">
      <c r="A139" s="4"/>
      <c r="B139" s="21">
        <f t="shared" si="2"/>
        <v>127</v>
      </c>
      <c r="C139" s="13" t="s">
        <v>407</v>
      </c>
      <c r="D139" s="13" t="s">
        <v>523</v>
      </c>
      <c r="E139" s="7"/>
      <c r="F139" s="7" t="s">
        <v>318</v>
      </c>
      <c r="G139" s="7" t="str">
        <f t="shared" si="3"/>
        <v>text</v>
      </c>
      <c r="H139" s="58"/>
      <c r="I139" s="23"/>
      <c r="J139" s="24" t="s">
        <v>549</v>
      </c>
      <c r="L139" s="4"/>
      <c r="M139" s="4"/>
      <c r="N139" s="78"/>
      <c r="O139" s="78"/>
      <c r="P139" s="78" t="str">
        <f t="shared" si="12"/>
        <v>,ass0070_ifuku_chakudatsu</v>
      </c>
      <c r="Q139" s="78" t="str">
        <f t="shared" si="13"/>
        <v>TEXT</v>
      </c>
      <c r="R139" s="78" t="str">
        <f t="shared" si="14"/>
        <v/>
      </c>
      <c r="S139" s="78" t="str">
        <f t="shared" si="15"/>
        <v/>
      </c>
      <c r="T139" s="78" t="str">
        <f t="shared" si="16"/>
        <v>-- 衣服の着脱</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milscm_2023_010.azn_202310_backup_merge_dpc_hn.ass0070_ifuku_chakudatsu IS '衣服の着脱';</v>
      </c>
      <c r="AT139" s="4"/>
      <c r="AU139" s="4"/>
      <c r="AV139" s="4"/>
      <c r="AW139" s="4"/>
      <c r="AX139" s="4"/>
      <c r="AY139" s="4"/>
      <c r="AZ139" s="4"/>
    </row>
    <row r="140" spans="1:52" s="25" customFormat="1">
      <c r="A140" s="4"/>
      <c r="B140" s="21">
        <f t="shared" si="2"/>
        <v>128</v>
      </c>
      <c r="C140" s="13" t="s">
        <v>409</v>
      </c>
      <c r="D140" s="13" t="s">
        <v>524</v>
      </c>
      <c r="E140" s="7"/>
      <c r="F140" s="7" t="s">
        <v>318</v>
      </c>
      <c r="G140" s="7" t="str">
        <f t="shared" si="3"/>
        <v>text</v>
      </c>
      <c r="H140" s="58"/>
      <c r="I140" s="23"/>
      <c r="J140" s="24" t="s">
        <v>551</v>
      </c>
      <c r="L140" s="4"/>
      <c r="M140" s="4"/>
      <c r="N140" s="78"/>
      <c r="O140" s="78"/>
      <c r="P140" s="78" t="str">
        <f t="shared" si="12"/>
        <v>,ass0070_shinryo_shiji</v>
      </c>
      <c r="Q140" s="78" t="str">
        <f t="shared" si="13"/>
        <v>TEXT</v>
      </c>
      <c r="R140" s="78" t="str">
        <f t="shared" si="14"/>
        <v/>
      </c>
      <c r="S140" s="78" t="str">
        <f t="shared" si="15"/>
        <v/>
      </c>
      <c r="T140" s="78" t="str">
        <f t="shared" si="16"/>
        <v>-- 診療・療養上の指示が通じる</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milscm_2023_010.azn_202310_backup_merge_dpc_hn.ass0070_shinryo_shiji IS '診療・療養上の指示が通じる';</v>
      </c>
      <c r="AT140" s="4"/>
      <c r="AU140" s="4"/>
      <c r="AV140" s="4"/>
      <c r="AW140" s="4"/>
      <c r="AX140" s="4"/>
      <c r="AY140" s="4"/>
      <c r="AZ140" s="4"/>
    </row>
    <row r="141" spans="1:52" s="25" customFormat="1">
      <c r="A141" s="4"/>
      <c r="B141" s="21">
        <f t="shared" si="2"/>
        <v>129</v>
      </c>
      <c r="C141" s="13" t="s">
        <v>525</v>
      </c>
      <c r="D141" s="13" t="s">
        <v>526</v>
      </c>
      <c r="E141" s="7"/>
      <c r="F141" s="7" t="s">
        <v>318</v>
      </c>
      <c r="G141" s="7" t="str">
        <f t="shared" si="3"/>
        <v>text</v>
      </c>
      <c r="H141" s="58"/>
      <c r="I141" s="23"/>
      <c r="J141" s="24" t="s">
        <v>552</v>
      </c>
      <c r="L141" s="4"/>
      <c r="M141" s="4"/>
      <c r="N141" s="78"/>
      <c r="O141" s="78"/>
      <c r="P141" s="78" t="str">
        <f t="shared" si="12"/>
        <v>,ass0070_kiken_kodo</v>
      </c>
      <c r="Q141" s="78" t="str">
        <f t="shared" si="13"/>
        <v>TEXT</v>
      </c>
      <c r="R141" s="78" t="str">
        <f t="shared" si="14"/>
        <v/>
      </c>
      <c r="S141" s="78" t="str">
        <f t="shared" si="15"/>
        <v/>
      </c>
      <c r="T141" s="78" t="str">
        <f t="shared" si="16"/>
        <v>-- 危険行動</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milscm_2023_010.azn_202310_backup_merge_dpc_hn.ass0070_kiken_kodo IS '危険行動';</v>
      </c>
      <c r="AT141" s="4"/>
      <c r="AU141" s="4"/>
      <c r="AV141" s="4"/>
      <c r="AW141" s="4"/>
      <c r="AX141" s="4"/>
      <c r="AY141" s="4"/>
      <c r="AZ141" s="4"/>
    </row>
    <row r="142" spans="1:52" s="25" customFormat="1" ht="37.5">
      <c r="A142" s="4"/>
      <c r="B142" s="21">
        <f t="shared" si="2"/>
        <v>130</v>
      </c>
      <c r="C142" s="6" t="s">
        <v>399</v>
      </c>
      <c r="D142" s="6" t="s">
        <v>527</v>
      </c>
      <c r="E142" s="8"/>
      <c r="F142" s="7" t="s">
        <v>318</v>
      </c>
      <c r="G142" s="7" t="str">
        <f t="shared" si="3"/>
        <v>text</v>
      </c>
      <c r="H142" s="26"/>
      <c r="I142" s="10"/>
      <c r="J142" s="11" t="s">
        <v>548</v>
      </c>
      <c r="L142" s="4"/>
      <c r="M142" s="4"/>
      <c r="N142" s="78"/>
      <c r="O142" s="78"/>
      <c r="P142" s="78" t="str">
        <f t="shared" si="12"/>
        <v>,ass0071_negaeri</v>
      </c>
      <c r="Q142" s="78" t="str">
        <f t="shared" si="13"/>
        <v>TEXT</v>
      </c>
      <c r="R142" s="78" t="str">
        <f t="shared" si="14"/>
        <v/>
      </c>
      <c r="S142" s="78" t="str">
        <f t="shared" si="15"/>
        <v/>
      </c>
      <c r="T142" s="78" t="str">
        <f t="shared" si="16"/>
        <v>-- 寝返り</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milscm_2023_010.azn_202310_backup_merge_dpc_hn.ass0071_negaeri IS '寝返り';</v>
      </c>
      <c r="AT142" s="4"/>
      <c r="AU142" s="4"/>
      <c r="AV142" s="4"/>
      <c r="AW142" s="4"/>
      <c r="AX142" s="4"/>
      <c r="AY142" s="4"/>
      <c r="AZ142" s="4"/>
    </row>
    <row r="143" spans="1:52" s="25" customFormat="1">
      <c r="A143" s="4"/>
      <c r="B143" s="21">
        <f t="shared" si="2"/>
        <v>131</v>
      </c>
      <c r="C143" s="13" t="s">
        <v>414</v>
      </c>
      <c r="D143" s="13" t="s">
        <v>528</v>
      </c>
      <c r="E143" s="7"/>
      <c r="F143" s="7" t="s">
        <v>318</v>
      </c>
      <c r="G143" s="7" t="str">
        <f t="shared" si="3"/>
        <v>text</v>
      </c>
      <c r="H143" s="58"/>
      <c r="I143" s="23"/>
      <c r="J143" s="24" t="s">
        <v>553</v>
      </c>
      <c r="L143" s="4"/>
      <c r="M143" s="4"/>
      <c r="N143" s="78"/>
      <c r="O143" s="78"/>
      <c r="P143" s="78" t="str">
        <f t="shared" si="12"/>
        <v>,ass0071_ijo_kanja</v>
      </c>
      <c r="Q143" s="78" t="str">
        <f t="shared" si="13"/>
        <v>TEXT</v>
      </c>
      <c r="R143" s="78" t="str">
        <f t="shared" si="14"/>
        <v/>
      </c>
      <c r="S143" s="78" t="str">
        <f t="shared" si="15"/>
        <v/>
      </c>
      <c r="T143" s="78" t="str">
        <f t="shared" si="16"/>
        <v>-- 移乗（患者の状態）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milscm_2023_010.azn_202310_backup_merge_dpc_hn.ass0071_ijo_kanja IS '移乗（患者の状態）';</v>
      </c>
      <c r="AT143" s="4"/>
      <c r="AU143" s="4"/>
      <c r="AV143" s="4"/>
      <c r="AW143" s="4"/>
      <c r="AX143" s="4"/>
      <c r="AY143" s="4"/>
      <c r="AZ143" s="4"/>
    </row>
    <row r="144" spans="1:52" s="25" customFormat="1" ht="31.5">
      <c r="A144" s="4"/>
      <c r="B144" s="21">
        <f t="shared" si="2"/>
        <v>132</v>
      </c>
      <c r="C144" s="6" t="s">
        <v>416</v>
      </c>
      <c r="D144" s="6" t="s">
        <v>529</v>
      </c>
      <c r="E144" s="8"/>
      <c r="F144" s="7" t="s">
        <v>318</v>
      </c>
      <c r="G144" s="7" t="str">
        <f t="shared" si="3"/>
        <v>text</v>
      </c>
      <c r="H144" s="26"/>
      <c r="I144" s="10"/>
      <c r="J144" s="11" t="s">
        <v>554</v>
      </c>
      <c r="L144" s="4"/>
      <c r="M144" s="4"/>
      <c r="N144" s="78"/>
      <c r="O144" s="78"/>
      <c r="P144" s="78" t="str">
        <f t="shared" si="12"/>
        <v>,ass0071_koku_seiketsu_kanja</v>
      </c>
      <c r="Q144" s="78" t="str">
        <f t="shared" si="13"/>
        <v>TEXT</v>
      </c>
      <c r="R144" s="78" t="str">
        <f t="shared" si="14"/>
        <v/>
      </c>
      <c r="S144" s="78" t="str">
        <f t="shared" si="15"/>
        <v/>
      </c>
      <c r="T144" s="78" t="str">
        <f t="shared" si="16"/>
        <v>-- 口腔清潔（患者の状態）</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milscm_2023_010.azn_202310_backup_merge_dpc_hn.ass0071_koku_seiketsu_kanja IS '口腔清潔（患者の状態）';</v>
      </c>
      <c r="AT144" s="4"/>
      <c r="AU144" s="4"/>
      <c r="AV144" s="4"/>
      <c r="AW144" s="4"/>
      <c r="AX144" s="4"/>
      <c r="AY144" s="4"/>
      <c r="AZ144" s="4"/>
    </row>
    <row r="145" spans="1:52" s="25" customFormat="1" ht="31.5">
      <c r="A145" s="4"/>
      <c r="B145" s="21">
        <f t="shared" si="2"/>
        <v>133</v>
      </c>
      <c r="C145" s="13" t="s">
        <v>418</v>
      </c>
      <c r="D145" s="13" t="s">
        <v>530</v>
      </c>
      <c r="E145" s="7"/>
      <c r="F145" s="7" t="s">
        <v>318</v>
      </c>
      <c r="G145" s="7" t="str">
        <f t="shared" si="3"/>
        <v>text</v>
      </c>
      <c r="H145" s="58"/>
      <c r="I145" s="23"/>
      <c r="J145" s="24" t="s">
        <v>553</v>
      </c>
      <c r="L145" s="4"/>
      <c r="M145" s="4"/>
      <c r="N145" s="78"/>
      <c r="O145" s="78"/>
      <c r="P145" s="78" t="str">
        <f t="shared" si="12"/>
        <v>,ass0071_shokuji_sesshu_kanja</v>
      </c>
      <c r="Q145" s="78" t="str">
        <f t="shared" si="13"/>
        <v>TEXT</v>
      </c>
      <c r="R145" s="78" t="str">
        <f t="shared" si="14"/>
        <v/>
      </c>
      <c r="S145" s="78" t="str">
        <f t="shared" si="15"/>
        <v/>
      </c>
      <c r="T145" s="78" t="str">
        <f t="shared" si="16"/>
        <v>-- 食事摂取（患者の状態）</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milscm_2023_010.azn_202310_backup_merge_dpc_hn.ass0071_shokuji_sesshu_kanja IS '食事摂取（患者の状態）';</v>
      </c>
      <c r="AT145" s="4"/>
      <c r="AU145" s="4"/>
      <c r="AV145" s="4"/>
      <c r="AW145" s="4"/>
      <c r="AX145" s="4"/>
      <c r="AY145" s="4"/>
      <c r="AZ145" s="4"/>
    </row>
    <row r="146" spans="1:52" s="25" customFormat="1" ht="31.5">
      <c r="A146" s="4"/>
      <c r="B146" s="21">
        <f t="shared" si="2"/>
        <v>134</v>
      </c>
      <c r="C146" s="6" t="s">
        <v>420</v>
      </c>
      <c r="D146" s="6" t="s">
        <v>531</v>
      </c>
      <c r="E146" s="8"/>
      <c r="F146" s="7" t="s">
        <v>318</v>
      </c>
      <c r="G146" s="7" t="str">
        <f t="shared" si="3"/>
        <v>text</v>
      </c>
      <c r="H146" s="26"/>
      <c r="I146" s="10"/>
      <c r="J146" s="11" t="s">
        <v>553</v>
      </c>
      <c r="L146" s="4"/>
      <c r="M146" s="4"/>
      <c r="N146" s="78"/>
      <c r="O146" s="78"/>
      <c r="P146" s="78" t="str">
        <f t="shared" si="12"/>
        <v>,ass0071_ifuku_chakudatsu_kanja</v>
      </c>
      <c r="Q146" s="78" t="str">
        <f t="shared" si="13"/>
        <v>TEXT</v>
      </c>
      <c r="R146" s="78" t="str">
        <f t="shared" si="14"/>
        <v/>
      </c>
      <c r="S146" s="78" t="str">
        <f t="shared" si="15"/>
        <v/>
      </c>
      <c r="T146" s="78" t="str">
        <f t="shared" si="16"/>
        <v>-- 衣服の着脱（患者の状態）</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409</v>
      </c>
      <c r="D147" s="13" t="s">
        <v>532</v>
      </c>
      <c r="E147" s="7"/>
      <c r="F147" s="7" t="s">
        <v>318</v>
      </c>
      <c r="G147" s="7" t="str">
        <f t="shared" si="3"/>
        <v>text</v>
      </c>
      <c r="H147" s="58"/>
      <c r="I147" s="23"/>
      <c r="J147" s="24" t="s">
        <v>551</v>
      </c>
      <c r="L147" s="4"/>
      <c r="M147" s="4"/>
      <c r="N147" s="78"/>
      <c r="O147" s="78"/>
      <c r="P147" s="78" t="str">
        <f t="shared" si="12"/>
        <v>,ass0071_shinryo_shiji</v>
      </c>
      <c r="Q147" s="78" t="str">
        <f t="shared" si="13"/>
        <v>TEXT</v>
      </c>
      <c r="R147" s="78" t="str">
        <f t="shared" si="14"/>
        <v/>
      </c>
      <c r="S147" s="78" t="str">
        <f t="shared" si="15"/>
        <v/>
      </c>
      <c r="T147" s="78" t="str">
        <f t="shared" si="16"/>
        <v>-- 診療・療養上の指示が通じる</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milscm_2023_010.azn_202310_backup_merge_dpc_hn.ass0071_shinryo_shiji IS '診療・療養上の指示が通じる';</v>
      </c>
      <c r="AT147" s="4"/>
      <c r="AU147" s="4"/>
      <c r="AV147" s="4"/>
      <c r="AW147" s="4"/>
      <c r="AX147" s="4"/>
      <c r="AY147" s="4"/>
      <c r="AZ147" s="4"/>
    </row>
    <row r="148" spans="1:52" s="25" customFormat="1">
      <c r="A148" s="4"/>
      <c r="B148" s="21">
        <f t="shared" si="2"/>
        <v>136</v>
      </c>
      <c r="C148" s="6" t="s">
        <v>411</v>
      </c>
      <c r="D148" s="6" t="s">
        <v>533</v>
      </c>
      <c r="E148" s="8"/>
      <c r="F148" s="7" t="s">
        <v>318</v>
      </c>
      <c r="G148" s="7" t="str">
        <f t="shared" si="3"/>
        <v>text</v>
      </c>
      <c r="H148" s="26"/>
      <c r="I148" s="10"/>
      <c r="J148" s="11" t="s">
        <v>552</v>
      </c>
      <c r="L148" s="4"/>
      <c r="M148" s="4"/>
      <c r="N148" s="78"/>
      <c r="O148" s="78"/>
      <c r="P148" s="78" t="str">
        <f t="shared" si="12"/>
        <v>,ass0071_kiken_kodo</v>
      </c>
      <c r="Q148" s="78" t="str">
        <f t="shared" si="13"/>
        <v>TEXT</v>
      </c>
      <c r="R148" s="78" t="str">
        <f t="shared" si="14"/>
        <v/>
      </c>
      <c r="S148" s="78" t="str">
        <f t="shared" si="15"/>
        <v/>
      </c>
      <c r="T148" s="78" t="str">
        <f t="shared" si="16"/>
        <v>-- 危険行動</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milscm_2023_010.azn_202310_backup_merge_dpc_hn.ass0071_kiken_kodo IS '危険行動';</v>
      </c>
      <c r="AT148" s="4"/>
      <c r="AU148" s="4"/>
      <c r="AV148" s="4"/>
      <c r="AW148" s="4"/>
      <c r="AX148" s="4"/>
      <c r="AY148" s="4"/>
      <c r="AZ148" s="4"/>
    </row>
    <row r="149" spans="1:52" s="25" customFormat="1">
      <c r="A149" s="4"/>
      <c r="B149" s="21">
        <f t="shared" si="2"/>
        <v>137</v>
      </c>
      <c r="C149" s="13" t="s">
        <v>424</v>
      </c>
      <c r="D149" s="13" t="s">
        <v>534</v>
      </c>
      <c r="E149" s="7"/>
      <c r="F149" s="7" t="s">
        <v>318</v>
      </c>
      <c r="G149" s="7" t="str">
        <f t="shared" si="3"/>
        <v>text</v>
      </c>
      <c r="H149" s="58"/>
      <c r="I149" s="23"/>
      <c r="J149" s="24" t="s">
        <v>555</v>
      </c>
      <c r="L149" s="4"/>
      <c r="M149" s="4"/>
      <c r="N149" s="78"/>
      <c r="O149" s="78"/>
      <c r="P149" s="78" t="str">
        <f t="shared" si="12"/>
        <v>,ass0071_ijo_kaijo</v>
      </c>
      <c r="Q149" s="78" t="str">
        <f t="shared" si="13"/>
        <v>TEXT</v>
      </c>
      <c r="R149" s="78" t="str">
        <f t="shared" si="14"/>
        <v/>
      </c>
      <c r="S149" s="78" t="str">
        <f t="shared" si="15"/>
        <v/>
      </c>
      <c r="T149" s="78" t="str">
        <f t="shared" si="16"/>
        <v>-- 移乗（介助の状態）</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milscm_2023_010.azn_202310_backup_merge_dpc_hn.ass0071_ijo_kaijo IS '移乗（介助の状態）';</v>
      </c>
      <c r="AT149" s="4"/>
      <c r="AU149" s="4"/>
      <c r="AV149" s="4"/>
      <c r="AW149" s="4"/>
      <c r="AX149" s="4"/>
      <c r="AY149" s="4"/>
      <c r="AZ149" s="4"/>
    </row>
    <row r="150" spans="1:52" s="25" customFormat="1" ht="31.5">
      <c r="A150" s="4"/>
      <c r="B150" s="21">
        <f t="shared" si="2"/>
        <v>138</v>
      </c>
      <c r="C150" s="13" t="s">
        <v>426</v>
      </c>
      <c r="D150" s="13" t="s">
        <v>535</v>
      </c>
      <c r="E150" s="7"/>
      <c r="F150" s="7" t="s">
        <v>318</v>
      </c>
      <c r="G150" s="7" t="str">
        <f t="shared" si="3"/>
        <v>text</v>
      </c>
      <c r="H150" s="58"/>
      <c r="I150" s="23"/>
      <c r="J150" s="24" t="s">
        <v>555</v>
      </c>
      <c r="L150" s="4"/>
      <c r="M150" s="4"/>
      <c r="N150" s="78"/>
      <c r="O150" s="78"/>
      <c r="P150" s="78" t="str">
        <f t="shared" si="12"/>
        <v>,ass0071_koku_seiketsu_kaijo</v>
      </c>
      <c r="Q150" s="78" t="str">
        <f t="shared" si="13"/>
        <v>TEXT</v>
      </c>
      <c r="R150" s="78" t="str">
        <f t="shared" si="14"/>
        <v/>
      </c>
      <c r="S150" s="78" t="str">
        <f t="shared" si="15"/>
        <v/>
      </c>
      <c r="T150" s="78" t="str">
        <f t="shared" si="16"/>
        <v>-- 口腔清潔（介助の状態）</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milscm_2023_010.azn_202310_backup_merge_dpc_hn.ass0071_koku_seiketsu_kaijo IS '口腔清潔（介助の状態）';</v>
      </c>
      <c r="AT150" s="4"/>
      <c r="AU150" s="4"/>
      <c r="AV150" s="4"/>
      <c r="AW150" s="4"/>
      <c r="AX150" s="4"/>
      <c r="AY150" s="4"/>
      <c r="AZ150" s="4"/>
    </row>
    <row r="151" spans="1:52" s="25" customFormat="1" ht="31.5">
      <c r="A151" s="4"/>
      <c r="B151" s="21">
        <f t="shared" si="2"/>
        <v>139</v>
      </c>
      <c r="C151" s="13" t="s">
        <v>428</v>
      </c>
      <c r="D151" s="13" t="s">
        <v>536</v>
      </c>
      <c r="E151" s="7"/>
      <c r="F151" s="7" t="s">
        <v>318</v>
      </c>
      <c r="G151" s="7" t="str">
        <f t="shared" si="3"/>
        <v>text</v>
      </c>
      <c r="H151" s="58"/>
      <c r="I151" s="23"/>
      <c r="J151" s="24" t="s">
        <v>555</v>
      </c>
      <c r="L151" s="4"/>
      <c r="M151" s="4"/>
      <c r="N151" s="78"/>
      <c r="O151" s="78"/>
      <c r="P151" s="78" t="str">
        <f t="shared" si="12"/>
        <v>,ass0071_shokuji_sesshu_kaijo</v>
      </c>
      <c r="Q151" s="78" t="str">
        <f t="shared" si="13"/>
        <v>TEXT</v>
      </c>
      <c r="R151" s="78" t="str">
        <f t="shared" si="14"/>
        <v/>
      </c>
      <c r="S151" s="78" t="str">
        <f t="shared" si="15"/>
        <v/>
      </c>
      <c r="T151" s="78" t="str">
        <f t="shared" si="16"/>
        <v>-- 食事摂取（介助の状態）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milscm_2023_010.azn_202310_backup_merge_dpc_hn.ass0071_shokuji_sesshu_kaijo IS '食事摂取（介助の状態）';</v>
      </c>
      <c r="AT151" s="4"/>
      <c r="AU151" s="4"/>
      <c r="AV151" s="4"/>
      <c r="AW151" s="4"/>
      <c r="AX151" s="4"/>
      <c r="AY151" s="4"/>
      <c r="AZ151" s="4"/>
    </row>
    <row r="152" spans="1:52" s="25" customFormat="1" ht="31.5">
      <c r="A152" s="4"/>
      <c r="B152" s="21">
        <f t="shared" si="2"/>
        <v>140</v>
      </c>
      <c r="C152" s="13" t="s">
        <v>430</v>
      </c>
      <c r="D152" s="13" t="s">
        <v>537</v>
      </c>
      <c r="E152" s="7"/>
      <c r="F152" s="7" t="s">
        <v>318</v>
      </c>
      <c r="G152" s="7" t="str">
        <f t="shared" si="3"/>
        <v>text</v>
      </c>
      <c r="H152" s="58"/>
      <c r="I152" s="23"/>
      <c r="J152" s="24" t="s">
        <v>555</v>
      </c>
      <c r="L152" s="4"/>
      <c r="M152" s="4"/>
      <c r="N152" s="78"/>
      <c r="O152" s="78"/>
      <c r="P152" s="78" t="str">
        <f t="shared" si="12"/>
        <v>,ass0071_ifuku_chakudatsu_kaijo</v>
      </c>
      <c r="Q152" s="78" t="str">
        <f t="shared" si="13"/>
        <v>TEXT</v>
      </c>
      <c r="R152" s="78" t="str">
        <f t="shared" si="14"/>
        <v/>
      </c>
      <c r="S152" s="78" t="str">
        <f t="shared" si="15"/>
        <v/>
      </c>
      <c r="T152" s="78" t="str">
        <f t="shared" si="16"/>
        <v>-- 衣服の着脱（介助の状態）</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milscm_2023_010.azn_202310_backup_merge_dpc_hn.ass0071_ifuku_chakudatsu_kaijo IS '衣服の着脱（介助の状態）';</v>
      </c>
      <c r="AT152" s="4"/>
      <c r="AU152" s="4"/>
      <c r="AV152" s="4"/>
      <c r="AW152" s="4"/>
      <c r="AX152" s="4"/>
      <c r="AY152" s="4"/>
      <c r="AZ152" s="4"/>
    </row>
    <row r="153" spans="1:52" s="25" customFormat="1" ht="132" thickBot="1">
      <c r="A153" s="4"/>
      <c r="B153" s="27">
        <f>ROW()-12</f>
        <v>141</v>
      </c>
      <c r="C153" s="57" t="s">
        <v>538</v>
      </c>
      <c r="D153" s="57" t="s">
        <v>539</v>
      </c>
      <c r="E153" s="56"/>
      <c r="F153" s="56" t="s">
        <v>318</v>
      </c>
      <c r="G153" s="56" t="str">
        <f t="shared" si="3"/>
        <v>text</v>
      </c>
      <c r="H153" s="59"/>
      <c r="I153" s="60"/>
      <c r="J153" s="61" t="s">
        <v>558</v>
      </c>
      <c r="L153" s="4"/>
      <c r="M153" s="4"/>
      <c r="N153" s="78"/>
      <c r="O153" s="78"/>
      <c r="P153" s="78" t="str">
        <f t="shared" si="12"/>
        <v>,tar0010_kango_hantei</v>
      </c>
      <c r="Q153" s="78" t="str">
        <f t="shared" si="13"/>
        <v>TEXT</v>
      </c>
      <c r="R153" s="78" t="str">
        <f t="shared" si="14"/>
        <v/>
      </c>
      <c r="S153" s="78" t="str">
        <f t="shared" si="15"/>
        <v/>
      </c>
      <c r="T153" s="78" t="str">
        <f t="shared" si="16"/>
        <v>-- 看護必要度判定対象</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milscm_2023_010.azn_202310_backup_merge_dpc_hn.tar0010_kango_hantei IS '看護必要度判定対象';</v>
      </c>
      <c r="AT153" s="4"/>
      <c r="AU153" s="4"/>
      <c r="AV153" s="4"/>
      <c r="AW153" s="4"/>
      <c r="AX153" s="4"/>
      <c r="AY153" s="4"/>
      <c r="AZ153" s="4"/>
    </row>
    <row r="154" spans="1:52">
      <c r="N154" s="78" t="s">
        <v>142</v>
      </c>
      <c r="O154" s="78"/>
      <c r="P154" s="78"/>
      <c r="Q154" s="78"/>
      <c r="R154" s="78"/>
      <c r="S154" s="78"/>
      <c r="T154" s="78"/>
      <c r="V154" s="25"/>
      <c r="W154" s="25"/>
      <c r="X154" s="25"/>
      <c r="Y154" s="25"/>
      <c r="Z154" s="25"/>
      <c r="AJ154"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800-000000000000}"/>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ENT_01_C1-05</v>
      </c>
      <c r="E6" s="239"/>
      <c r="F6" s="239"/>
      <c r="G6" s="239"/>
      <c r="H6" s="239"/>
      <c r="I6" s="239"/>
      <c r="J6" s="240"/>
    </row>
    <row r="7" spans="1:45">
      <c r="B7" s="228" t="s">
        <v>115</v>
      </c>
      <c r="C7" s="229"/>
      <c r="D7" s="230" t="s">
        <v>181</v>
      </c>
      <c r="E7" s="231"/>
      <c r="F7" s="231"/>
      <c r="G7" s="231"/>
      <c r="H7" s="231"/>
      <c r="I7" s="231"/>
      <c r="J7" s="232"/>
    </row>
    <row r="8" spans="1:45">
      <c r="B8" s="228" t="s">
        <v>116</v>
      </c>
      <c r="C8" s="229"/>
      <c r="D8" s="230" t="str">
        <f>エンティティ一覧!AE2&amp;"_"&amp;D5&amp;"_merge_dpc_ff1"</f>
        <v>azn_202310_backup_merge_dpc_ff1</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milscm_2023_010.azn_202310_backup_merge_dpc_ff1;</v>
      </c>
      <c r="O10" s="78"/>
      <c r="P10" s="78"/>
      <c r="Q10" s="78"/>
      <c r="R10" s="78"/>
      <c r="S10" s="78"/>
      <c r="T10" s="78"/>
      <c r="AJ10" s="78" t="str">
        <f>"ALTER TABLE ONLY "&amp;エンティティ一覧!$O$2&amp;"."&amp;D$8</f>
        <v>ALTER TABLE ONLY milscm_2023_010.azn_202310_backup_merge_dpc_ff1</v>
      </c>
      <c r="AS10" s="78" t="str">
        <f>"ALTER TABLE "&amp;エンティティ一覧!$O$2&amp;"."&amp;D$8&amp;" OWNER TO pgmisgrp1;"</f>
        <v>ALTER TABLE milscm_2023_010.azn_202310_backup_merge_dpc_ff1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milscm_2023_010.azn_202310_backup_merge_dpc_ff1</v>
      </c>
      <c r="O11" s="78"/>
      <c r="P11" s="78"/>
      <c r="Q11" s="78"/>
      <c r="R11" s="78"/>
      <c r="S11" s="78"/>
      <c r="T11" s="78"/>
      <c r="AJ11" s="78" t="str">
        <f>"ADD CONSTRAINT "&amp;D$8&amp;"_pkey PRIMARY KEY"</f>
        <v>ADD CONSTRAINT azn_202310_backup_merge_dpc_ff1_pkey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 IS 'バックアップ_DPC調査データ_様式1';</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milscm_2023_010.azn_202310_backup_merge_dpc_ff1.torikomi_ym IS '取込年月';</v>
      </c>
    </row>
    <row r="14" spans="1:45" s="25" customFormat="1">
      <c r="A14" s="4"/>
      <c r="B14" s="21">
        <f t="shared" ref="B14:B154" si="2">ROW()-12</f>
        <v>2</v>
      </c>
      <c r="C14" s="6" t="s">
        <v>203</v>
      </c>
      <c r="D14" s="6" t="s">
        <v>204</v>
      </c>
      <c r="E14" s="8"/>
      <c r="F14" s="7" t="s">
        <v>205</v>
      </c>
      <c r="G14" s="7" t="str">
        <f t="shared" ref="G14:G155"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milscm_2023_010.azn_202310_backup_merge_dpc_ff1.mil_karute_id IS '千年カルテID';</v>
      </c>
    </row>
    <row r="15" spans="1:45" s="25" customFormat="1" ht="37.5">
      <c r="A15" s="4"/>
      <c r="B15" s="21">
        <f t="shared" si="2"/>
        <v>3</v>
      </c>
      <c r="C15" s="13" t="s">
        <v>137</v>
      </c>
      <c r="D15" s="13" t="s">
        <v>128</v>
      </c>
      <c r="E15" s="7" t="s">
        <v>127</v>
      </c>
      <c r="F15" s="7" t="s">
        <v>318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milscm_2023_010.azn_202310_backup_merge_dpc_ff1.facility_id IS '施設ID';</v>
      </c>
    </row>
    <row r="16" spans="1:45" s="25" customFormat="1" ht="93.75">
      <c r="B16" s="21">
        <f t="shared" si="2"/>
        <v>4</v>
      </c>
      <c r="C16" s="6" t="s">
        <v>319</v>
      </c>
      <c r="D16" s="6" t="s">
        <v>207</v>
      </c>
      <c r="E16" s="8" t="s">
        <v>127</v>
      </c>
      <c r="F16" s="7" t="s">
        <v>318</v>
      </c>
      <c r="G16" s="7" t="str">
        <f t="shared" ref="G16:G17" si="5">IF(F16="フラグ","boolean",IF(F16="文字列","text",IF(F16="整数","integer",IF(F16="実数","numeric",""))))</f>
        <v>text</v>
      </c>
      <c r="H16" s="26"/>
      <c r="I16" s="10" t="s">
        <v>127</v>
      </c>
      <c r="J16" s="53" t="s">
        <v>932</v>
      </c>
      <c r="M16" s="4"/>
      <c r="N16" s="78"/>
      <c r="O16" s="78"/>
      <c r="P16" s="78" t="str">
        <f t="shared" si="4"/>
        <v>,shinryo_ym</v>
      </c>
      <c r="Q16" s="78" t="str">
        <f t="shared" si="0"/>
        <v>TEXT</v>
      </c>
      <c r="R16" s="78" t="str">
        <f t="shared" si="1"/>
        <v/>
      </c>
      <c r="S16" s="78" t="str">
        <f t="shared" ref="S16:S47" si="6">IF(I16="○","NOT NULL","")</f>
        <v>NOT NULL</v>
      </c>
      <c r="T16" s="78" t="str">
        <f t="shared" ref="T16:T47" si="7">"--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milscm_2023_010.azn_202310_backup_merge_dpc_ff1.shinryo_ym IS '診療年月';</v>
      </c>
    </row>
    <row r="17" spans="1:45" s="25" customFormat="1">
      <c r="B17" s="21">
        <f t="shared" si="2"/>
        <v>5</v>
      </c>
      <c r="C17" s="6" t="s">
        <v>208</v>
      </c>
      <c r="D17" s="6" t="s">
        <v>209</v>
      </c>
      <c r="E17" s="8"/>
      <c r="F17" s="7" t="s">
        <v>318</v>
      </c>
      <c r="G17" s="7" t="str">
        <f t="shared" si="5"/>
        <v>text</v>
      </c>
      <c r="H17" s="58" t="s">
        <v>260</v>
      </c>
      <c r="I17" s="23" t="s">
        <v>127</v>
      </c>
      <c r="J17" s="24" t="s">
        <v>811</v>
      </c>
      <c r="N17" s="78"/>
      <c r="O17" s="78"/>
      <c r="P17" s="78" t="str">
        <f t="shared" si="4"/>
        <v>,data_type</v>
      </c>
      <c r="Q17" s="78" t="str">
        <f t="shared" si="0"/>
        <v>TEXT</v>
      </c>
      <c r="R17" s="78" t="str">
        <f t="shared" si="1"/>
        <v>default 'DPC'</v>
      </c>
      <c r="S17" s="78" t="str">
        <f t="shared" si="6"/>
        <v>NOT NULL</v>
      </c>
      <c r="T17" s="78" t="str">
        <f t="shared" si="7"/>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6"/>
        <v>NOT NULL</v>
      </c>
      <c r="T18" s="78" t="str">
        <f t="shared" si="7"/>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milscm_2023_010.azn_202310_backup_merge_dpc_ff1.shikibetsu_no IS 'データ識別番号';</v>
      </c>
    </row>
    <row r="19" spans="1:45" s="25" customFormat="1">
      <c r="B19" s="21">
        <f t="shared" si="2"/>
        <v>7</v>
      </c>
      <c r="C19" s="13" t="s">
        <v>565</v>
      </c>
      <c r="D19" s="13" t="s">
        <v>156</v>
      </c>
      <c r="E19" s="7" t="s">
        <v>127</v>
      </c>
      <c r="F19" s="7" t="s">
        <v>318</v>
      </c>
      <c r="G19" s="7" t="str">
        <f t="shared" si="3"/>
        <v>text</v>
      </c>
      <c r="H19" s="58"/>
      <c r="I19" s="23" t="s">
        <v>127</v>
      </c>
      <c r="J19" s="24" t="s">
        <v>144</v>
      </c>
      <c r="N19" s="78"/>
      <c r="O19" s="78"/>
      <c r="P19" s="78" t="str">
        <f t="shared" si="4"/>
        <v>,nyuin_ymd</v>
      </c>
      <c r="Q19" s="78" t="str">
        <f t="shared" si="0"/>
        <v>TEXT</v>
      </c>
      <c r="R19" s="78" t="str">
        <f t="shared" si="1"/>
        <v/>
      </c>
      <c r="S19" s="78" t="str">
        <f t="shared" si="6"/>
        <v>NOT NULL</v>
      </c>
      <c r="T19" s="78" t="str">
        <f t="shared" si="7"/>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milscm_2023_010.azn_202310_backup_merge_dpc_ff1.nyuin_ymd IS '入院年月日';</v>
      </c>
    </row>
    <row r="20" spans="1:45" s="25" customFormat="1">
      <c r="B20" s="21">
        <f t="shared" si="2"/>
        <v>8</v>
      </c>
      <c r="C20" s="6" t="s">
        <v>566</v>
      </c>
      <c r="D20" s="6" t="s">
        <v>567</v>
      </c>
      <c r="E20" s="8" t="s">
        <v>127</v>
      </c>
      <c r="F20" s="7" t="s">
        <v>318</v>
      </c>
      <c r="G20" s="7" t="str">
        <f t="shared" si="3"/>
        <v>text</v>
      </c>
      <c r="H20" s="26"/>
      <c r="I20" s="10" t="s">
        <v>127</v>
      </c>
      <c r="J20" s="11"/>
      <c r="N20" s="78"/>
      <c r="O20" s="78"/>
      <c r="P20" s="78" t="str">
        <f t="shared" si="4"/>
        <v>,times_no</v>
      </c>
      <c r="Q20" s="78" t="str">
        <f t="shared" si="0"/>
        <v>TEXT</v>
      </c>
      <c r="R20" s="78" t="str">
        <f t="shared" si="1"/>
        <v/>
      </c>
      <c r="S20" s="78" t="str">
        <f t="shared" si="6"/>
        <v>NOT NULL</v>
      </c>
      <c r="T20" s="78" t="str">
        <f t="shared" si="7"/>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milscm_2023_010.azn_202310_backup_merge_dpc_ff1.times_no IS '回数管理番号';</v>
      </c>
    </row>
    <row r="21" spans="1:45" s="25" customFormat="1">
      <c r="B21" s="21">
        <f t="shared" si="2"/>
        <v>9</v>
      </c>
      <c r="C21" s="13" t="s">
        <v>568</v>
      </c>
      <c r="D21" s="13" t="s">
        <v>569</v>
      </c>
      <c r="E21" s="7" t="s">
        <v>127</v>
      </c>
      <c r="F21" s="7" t="s">
        <v>318</v>
      </c>
      <c r="G21" s="7" t="str">
        <f t="shared" si="3"/>
        <v>text</v>
      </c>
      <c r="H21" s="58"/>
      <c r="I21" s="23" t="s">
        <v>127</v>
      </c>
      <c r="J21" s="24"/>
      <c r="N21" s="78"/>
      <c r="O21" s="78"/>
      <c r="P21" s="78" t="str">
        <f t="shared" si="4"/>
        <v>,sokatsu_shinryo_no</v>
      </c>
      <c r="Q21" s="78" t="str">
        <f t="shared" si="0"/>
        <v>TEXT</v>
      </c>
      <c r="R21" s="78" t="str">
        <f t="shared" si="1"/>
        <v/>
      </c>
      <c r="S21" s="78" t="str">
        <f t="shared" si="6"/>
        <v>NOT NULL</v>
      </c>
      <c r="T21" s="78" t="str">
        <f t="shared" si="7"/>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milscm_2023_010.azn_202310_backup_merge_dpc_ff1.sokatsu_shinryo_no IS '統括診療情報番号';</v>
      </c>
    </row>
    <row r="22" spans="1:45" s="25" customFormat="1">
      <c r="B22" s="21">
        <f t="shared" si="2"/>
        <v>10</v>
      </c>
      <c r="C22" s="6" t="s">
        <v>359</v>
      </c>
      <c r="D22" s="6" t="s">
        <v>360</v>
      </c>
      <c r="E22" s="8" t="s">
        <v>127</v>
      </c>
      <c r="F22" s="7" t="s">
        <v>318</v>
      </c>
      <c r="G22" s="7" t="str">
        <f t="shared" si="3"/>
        <v>text</v>
      </c>
      <c r="H22" s="26" t="s">
        <v>812</v>
      </c>
      <c r="I22" s="10" t="s">
        <v>127</v>
      </c>
      <c r="J22" s="11" t="s">
        <v>813</v>
      </c>
      <c r="N22" s="78"/>
      <c r="O22" s="78"/>
      <c r="P22" s="78" t="str">
        <f t="shared" si="4"/>
        <v>,code</v>
      </c>
      <c r="Q22" s="78" t="str">
        <f t="shared" si="0"/>
        <v>TEXT</v>
      </c>
      <c r="R22" s="78" t="str">
        <f t="shared" si="1"/>
        <v>default 'A000010'</v>
      </c>
      <c r="S22" s="78" t="str">
        <f t="shared" si="6"/>
        <v>NOT NULL</v>
      </c>
      <c r="T22" s="78" t="str">
        <f t="shared" si="7"/>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milscm_2023_010.azn_202310_backup_merge_dpc_ff1.code IS 'コード';</v>
      </c>
    </row>
    <row r="23" spans="1:45" s="25" customFormat="1">
      <c r="A23" s="4"/>
      <c r="B23" s="21">
        <f t="shared" si="2"/>
        <v>11</v>
      </c>
      <c r="C23" s="13" t="s">
        <v>361</v>
      </c>
      <c r="D23" s="13" t="s">
        <v>362</v>
      </c>
      <c r="E23" s="7" t="s">
        <v>127</v>
      </c>
      <c r="F23" s="7" t="s">
        <v>318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6"/>
        <v>NOT NULL</v>
      </c>
      <c r="T23" s="78" t="str">
        <f t="shared" si="7"/>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milscm_2023_010.azn_202310_backup_merge_dpc_ff1.version IS 'バージョン';</v>
      </c>
    </row>
    <row r="24" spans="1:45" s="25" customFormat="1">
      <c r="A24" s="4"/>
      <c r="B24" s="21">
        <f t="shared" si="2"/>
        <v>12</v>
      </c>
      <c r="C24" s="6" t="s">
        <v>363</v>
      </c>
      <c r="D24" s="6" t="s">
        <v>364</v>
      </c>
      <c r="E24" s="8" t="s">
        <v>127</v>
      </c>
      <c r="F24" s="7" t="s">
        <v>318</v>
      </c>
      <c r="G24" s="7" t="str">
        <f t="shared" si="3"/>
        <v>text</v>
      </c>
      <c r="H24" s="26"/>
      <c r="I24" s="10" t="s">
        <v>127</v>
      </c>
      <c r="J24" s="11"/>
      <c r="N24" s="78"/>
      <c r="O24" s="78"/>
      <c r="P24" s="78" t="str">
        <f t="shared" si="4"/>
        <v>,number</v>
      </c>
      <c r="Q24" s="78" t="str">
        <f t="shared" si="0"/>
        <v>TEXT</v>
      </c>
      <c r="R24" s="78" t="str">
        <f t="shared" si="1"/>
        <v/>
      </c>
      <c r="S24" s="78" t="str">
        <f t="shared" si="6"/>
        <v>NOT NULL</v>
      </c>
      <c r="T24" s="78" t="str">
        <f t="shared" si="7"/>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milscm_2023_010.azn_202310_backup_merge_dpc_ff1.number IS '連番';</v>
      </c>
    </row>
    <row r="25" spans="1:45" s="25" customFormat="1">
      <c r="A25" s="4"/>
      <c r="B25" s="21">
        <f t="shared" si="2"/>
        <v>13</v>
      </c>
      <c r="C25" s="13" t="s">
        <v>570</v>
      </c>
      <c r="D25" s="13" t="s">
        <v>571</v>
      </c>
      <c r="E25" s="7"/>
      <c r="F25" s="7" t="s">
        <v>318</v>
      </c>
      <c r="G25" s="7" t="str">
        <f t="shared" si="3"/>
        <v>text</v>
      </c>
      <c r="H25" s="58"/>
      <c r="I25" s="23"/>
      <c r="J25" s="24" t="s">
        <v>144</v>
      </c>
      <c r="N25" s="78"/>
      <c r="O25" s="78"/>
      <c r="P25" s="78" t="str">
        <f t="shared" si="4"/>
        <v>,a000010_birthday</v>
      </c>
      <c r="Q25" s="78" t="str">
        <f t="shared" si="0"/>
        <v>TEXT</v>
      </c>
      <c r="R25" s="78" t="str">
        <f t="shared" si="1"/>
        <v/>
      </c>
      <c r="S25" s="78" t="str">
        <f t="shared" si="6"/>
        <v/>
      </c>
      <c r="T25" s="78" t="str">
        <f t="shared" si="7"/>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milscm_2023_010.azn_202310_backup_merge_dpc_ff1.a000010_birthday IS '生年月日';</v>
      </c>
    </row>
    <row r="26" spans="1:45" s="25" customFormat="1">
      <c r="A26" s="4"/>
      <c r="B26" s="21">
        <f t="shared" si="2"/>
        <v>14</v>
      </c>
      <c r="C26" s="6" t="s">
        <v>572</v>
      </c>
      <c r="D26" s="6" t="s">
        <v>573</v>
      </c>
      <c r="E26" s="8"/>
      <c r="F26" s="7" t="s">
        <v>318</v>
      </c>
      <c r="G26" s="7" t="str">
        <f t="shared" si="3"/>
        <v>text</v>
      </c>
      <c r="H26" s="26"/>
      <c r="I26" s="10"/>
      <c r="J26" s="11" t="s">
        <v>815</v>
      </c>
      <c r="N26" s="78"/>
      <c r="O26" s="78"/>
      <c r="P26" s="78" t="str">
        <f t="shared" si="4"/>
        <v>,a000010_sex</v>
      </c>
      <c r="Q26" s="78" t="str">
        <f t="shared" si="0"/>
        <v>TEXT</v>
      </c>
      <c r="R26" s="78" t="str">
        <f t="shared" si="1"/>
        <v/>
      </c>
      <c r="S26" s="78" t="str">
        <f t="shared" si="6"/>
        <v/>
      </c>
      <c r="T26" s="78" t="str">
        <f t="shared" si="7"/>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milscm_2023_010.azn_202310_backup_merge_dpc_ff1.a000010_sex IS '性別';</v>
      </c>
    </row>
    <row r="27" spans="1:45" s="25" customFormat="1">
      <c r="A27" s="4"/>
      <c r="B27" s="21">
        <f t="shared" si="2"/>
        <v>15</v>
      </c>
      <c r="C27" s="13" t="s">
        <v>574</v>
      </c>
      <c r="D27" s="13" t="s">
        <v>575</v>
      </c>
      <c r="E27" s="7"/>
      <c r="F27" s="7" t="s">
        <v>318</v>
      </c>
      <c r="G27" s="7" t="str">
        <f t="shared" si="3"/>
        <v>text</v>
      </c>
      <c r="H27" s="26"/>
      <c r="I27" s="10"/>
      <c r="J27" s="11"/>
      <c r="N27" s="78"/>
      <c r="O27" s="78"/>
      <c r="P27" s="78" t="str">
        <f t="shared" si="4"/>
        <v>,a000010_postal_code</v>
      </c>
      <c r="Q27" s="78" t="str">
        <f t="shared" si="0"/>
        <v>TEXT</v>
      </c>
      <c r="R27" s="78" t="str">
        <f t="shared" si="1"/>
        <v/>
      </c>
      <c r="S27" s="78" t="str">
        <f t="shared" si="6"/>
        <v/>
      </c>
      <c r="T27" s="78" t="str">
        <f t="shared" si="7"/>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milscm_2023_010.azn_202310_backup_merge_dpc_ff1.a000010_postal_code IS '患者住所地域の郵便番号';</v>
      </c>
    </row>
    <row r="28" spans="1:45" s="25" customFormat="1">
      <c r="A28" s="4"/>
      <c r="B28" s="21">
        <f t="shared" si="2"/>
        <v>16</v>
      </c>
      <c r="C28" s="6" t="s">
        <v>143</v>
      </c>
      <c r="D28" s="6" t="s">
        <v>576</v>
      </c>
      <c r="E28" s="8"/>
      <c r="F28" s="7" t="s">
        <v>318</v>
      </c>
      <c r="G28" s="7" t="str">
        <f t="shared" si="3"/>
        <v>text</v>
      </c>
      <c r="H28" s="58"/>
      <c r="I28" s="23"/>
      <c r="J28" s="24" t="s">
        <v>144</v>
      </c>
      <c r="N28" s="78"/>
      <c r="O28" s="78"/>
      <c r="P28" s="78" t="str">
        <f t="shared" si="4"/>
        <v>,a000020_nyuin_ymd</v>
      </c>
      <c r="Q28" s="78" t="str">
        <f t="shared" si="0"/>
        <v>TEXT</v>
      </c>
      <c r="R28" s="78" t="str">
        <f t="shared" si="1"/>
        <v/>
      </c>
      <c r="S28" s="78" t="str">
        <f t="shared" si="6"/>
        <v/>
      </c>
      <c r="T28" s="78" t="str">
        <f t="shared" si="7"/>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milscm_2023_010.azn_202310_backup_merge_dpc_ff1.a000020_nyuin_ymd IS '入院年月日';</v>
      </c>
    </row>
    <row r="29" spans="1:45" s="25" customFormat="1">
      <c r="A29" s="4"/>
      <c r="B29" s="21">
        <f t="shared" si="2"/>
        <v>17</v>
      </c>
      <c r="C29" s="6" t="s">
        <v>577</v>
      </c>
      <c r="D29" s="6" t="s">
        <v>578</v>
      </c>
      <c r="E29" s="8"/>
      <c r="F29" s="7" t="s">
        <v>318</v>
      </c>
      <c r="G29" s="7" t="str">
        <f t="shared" si="3"/>
        <v>text</v>
      </c>
      <c r="H29" s="26"/>
      <c r="I29" s="10"/>
      <c r="J29" s="11"/>
      <c r="N29" s="78"/>
      <c r="O29" s="78"/>
      <c r="P29" s="78" t="str">
        <f t="shared" si="4"/>
        <v>,a000020_nyuin_route</v>
      </c>
      <c r="Q29" s="78" t="str">
        <f t="shared" si="0"/>
        <v>TEXT</v>
      </c>
      <c r="R29" s="78" t="str">
        <f t="shared" si="1"/>
        <v/>
      </c>
      <c r="S29" s="78" t="str">
        <f t="shared" si="6"/>
        <v/>
      </c>
      <c r="T29" s="78" t="str">
        <f t="shared" si="7"/>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milscm_2023_010.azn_202310_backup_merge_dpc_ff1.a000020_nyuin_route IS '入院経路';</v>
      </c>
    </row>
    <row r="30" spans="1:45" s="25" customFormat="1">
      <c r="A30" s="4"/>
      <c r="B30" s="21">
        <f t="shared" si="2"/>
        <v>18</v>
      </c>
      <c r="C30" s="13" t="s">
        <v>579</v>
      </c>
      <c r="D30" s="13" t="s">
        <v>580</v>
      </c>
      <c r="E30" s="7"/>
      <c r="F30" s="7" t="s">
        <v>318</v>
      </c>
      <c r="G30" s="7" t="str">
        <f t="shared" si="3"/>
        <v>text</v>
      </c>
      <c r="H30" s="58"/>
      <c r="I30" s="23"/>
      <c r="J30" s="24" t="s">
        <v>816</v>
      </c>
      <c r="N30" s="78"/>
      <c r="O30" s="78"/>
      <c r="P30" s="78" t="str">
        <f t="shared" si="4"/>
        <v>,a000020_shokai_flag</v>
      </c>
      <c r="Q30" s="78" t="str">
        <f t="shared" si="0"/>
        <v>TEXT</v>
      </c>
      <c r="R30" s="78" t="str">
        <f t="shared" si="1"/>
        <v/>
      </c>
      <c r="S30" s="78" t="str">
        <f t="shared" si="6"/>
        <v/>
      </c>
      <c r="T30" s="78" t="str">
        <f t="shared" si="7"/>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milscm_2023_010.azn_202310_backup_merge_dpc_ff1.a000020_shokai_flag IS '他院よりの紹介の有無';</v>
      </c>
    </row>
    <row r="31" spans="1:45" s="25" customFormat="1" ht="31.5">
      <c r="A31" s="4"/>
      <c r="B31" s="21">
        <f t="shared" si="2"/>
        <v>19</v>
      </c>
      <c r="C31" s="6" t="s">
        <v>581</v>
      </c>
      <c r="D31" s="6" t="s">
        <v>582</v>
      </c>
      <c r="E31" s="8"/>
      <c r="F31" s="7" t="s">
        <v>318</v>
      </c>
      <c r="G31" s="7" t="str">
        <f t="shared" si="3"/>
        <v>text</v>
      </c>
      <c r="H31" s="26"/>
      <c r="I31" s="10"/>
      <c r="J31" s="11" t="s">
        <v>816</v>
      </c>
      <c r="N31" s="78"/>
      <c r="O31" s="78"/>
      <c r="P31" s="78" t="str">
        <f t="shared" si="4"/>
        <v>,a000020_gairai_nyuin_flag</v>
      </c>
      <c r="Q31" s="78" t="str">
        <f t="shared" si="0"/>
        <v>TEXT</v>
      </c>
      <c r="R31" s="78" t="str">
        <f t="shared" si="1"/>
        <v/>
      </c>
      <c r="S31" s="78" t="str">
        <f t="shared" si="6"/>
        <v/>
      </c>
      <c r="T31" s="78" t="str">
        <f t="shared" si="7"/>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milscm_2023_010.azn_202310_backup_merge_dpc_ff1.a000020_gairai_nyuin_flag IS '自院の外来からの入院';</v>
      </c>
    </row>
    <row r="32" spans="1:45" s="25" customFormat="1">
      <c r="A32" s="4"/>
      <c r="B32" s="21">
        <f t="shared" si="2"/>
        <v>20</v>
      </c>
      <c r="C32" s="13" t="s">
        <v>583</v>
      </c>
      <c r="D32" s="13" t="s">
        <v>584</v>
      </c>
      <c r="E32" s="7"/>
      <c r="F32" s="7" t="s">
        <v>318</v>
      </c>
      <c r="G32" s="7" t="str">
        <f t="shared" si="3"/>
        <v>text</v>
      </c>
      <c r="H32" s="58"/>
      <c r="I32" s="23"/>
      <c r="J32" s="24"/>
      <c r="N32" s="78"/>
      <c r="O32" s="78"/>
      <c r="P32" s="78" t="str">
        <f t="shared" si="4"/>
        <v>,a000020_yotei_nyuin</v>
      </c>
      <c r="Q32" s="78" t="str">
        <f t="shared" si="0"/>
        <v>TEXT</v>
      </c>
      <c r="R32" s="78" t="str">
        <f t="shared" si="1"/>
        <v/>
      </c>
      <c r="S32" s="78" t="str">
        <f t="shared" si="6"/>
        <v/>
      </c>
      <c r="T32" s="78" t="str">
        <f t="shared" si="7"/>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milscm_2023_010.azn_202310_backup_merge_dpc_ff1.a000020_yotei_nyuin IS '予定・救急医療入院';</v>
      </c>
    </row>
    <row r="33" spans="1:52" s="25" customFormat="1">
      <c r="A33" s="4"/>
      <c r="B33" s="21">
        <f t="shared" si="2"/>
        <v>21</v>
      </c>
      <c r="C33" s="6" t="s">
        <v>585</v>
      </c>
      <c r="D33" s="6" t="s">
        <v>586</v>
      </c>
      <c r="E33" s="8"/>
      <c r="F33" s="7" t="s">
        <v>318</v>
      </c>
      <c r="G33" s="7" t="str">
        <f t="shared" si="3"/>
        <v>text</v>
      </c>
      <c r="H33" s="26"/>
      <c r="I33" s="10"/>
      <c r="J33" s="11" t="s">
        <v>816</v>
      </c>
      <c r="N33" s="78"/>
      <c r="O33" s="78"/>
      <c r="P33" s="78" t="str">
        <f t="shared" si="4"/>
        <v>,a000020_hanso_flag</v>
      </c>
      <c r="Q33" s="78" t="str">
        <f t="shared" si="0"/>
        <v>TEXT</v>
      </c>
      <c r="R33" s="78" t="str">
        <f t="shared" si="1"/>
        <v/>
      </c>
      <c r="S33" s="78" t="str">
        <f t="shared" si="6"/>
        <v/>
      </c>
      <c r="T33" s="78" t="str">
        <f t="shared" si="7"/>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milscm_2023_010.azn_202310_backup_merge_dpc_ff1.a000020_hanso_flag IS '救急車による搬送の有無';</v>
      </c>
    </row>
    <row r="34" spans="1:52" s="25" customFormat="1" ht="31.5">
      <c r="A34" s="4"/>
      <c r="B34" s="21">
        <f t="shared" si="2"/>
        <v>22</v>
      </c>
      <c r="C34" s="13" t="s">
        <v>587</v>
      </c>
      <c r="D34" s="13" t="s">
        <v>588</v>
      </c>
      <c r="E34" s="7"/>
      <c r="F34" s="7" t="s">
        <v>318</v>
      </c>
      <c r="G34" s="7" t="str">
        <f t="shared" si="3"/>
        <v>text</v>
      </c>
      <c r="H34" s="58"/>
      <c r="I34" s="23"/>
      <c r="J34" s="24" t="s">
        <v>816</v>
      </c>
      <c r="N34" s="78"/>
      <c r="O34" s="78"/>
      <c r="P34" s="78" t="str">
        <f t="shared" si="4"/>
        <v>,a000020_nyuin_homecare_flag</v>
      </c>
      <c r="Q34" s="78" t="str">
        <f t="shared" si="0"/>
        <v>TEXT</v>
      </c>
      <c r="R34" s="78" t="str">
        <f t="shared" si="1"/>
        <v/>
      </c>
      <c r="S34" s="78" t="str">
        <f t="shared" si="6"/>
        <v/>
      </c>
      <c r="T34" s="78" t="str">
        <f t="shared" si="7"/>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milscm_2023_010.azn_202310_backup_merge_dpc_ff1.a000020_nyuin_homecare_flag IS '入院前の在宅医療の有無';</v>
      </c>
    </row>
    <row r="35" spans="1:52" s="25" customFormat="1" ht="206.25">
      <c r="A35" s="4"/>
      <c r="B35" s="21">
        <f t="shared" si="2"/>
        <v>23</v>
      </c>
      <c r="C35" s="6" t="s">
        <v>589</v>
      </c>
      <c r="D35" s="6" t="s">
        <v>590</v>
      </c>
      <c r="E35" s="8"/>
      <c r="F35" s="7" t="s">
        <v>318</v>
      </c>
      <c r="G35" s="7" t="str">
        <f t="shared" si="3"/>
        <v>text</v>
      </c>
      <c r="H35" s="26"/>
      <c r="I35" s="10"/>
      <c r="J35" s="11" t="s">
        <v>817</v>
      </c>
      <c r="N35" s="78"/>
      <c r="O35" s="78"/>
      <c r="P35" s="78" t="str">
        <f t="shared" si="4"/>
        <v>,a000020_jisho_flag</v>
      </c>
      <c r="Q35" s="78" t="str">
        <f t="shared" si="0"/>
        <v>TEXT</v>
      </c>
      <c r="R35" s="78" t="str">
        <f t="shared" si="1"/>
        <v/>
      </c>
      <c r="S35" s="78" t="str">
        <f t="shared" si="6"/>
        <v/>
      </c>
      <c r="T35" s="78" t="str">
        <f t="shared" si="7"/>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milscm_2023_010.azn_202310_backup_merge_dpc_ff1.a000020_jisho_flag IS '自傷行為・自殺企図の有無';</v>
      </c>
    </row>
    <row r="36" spans="1:52" s="25" customFormat="1" ht="56.25">
      <c r="A36" s="4"/>
      <c r="B36" s="21">
        <f t="shared" si="2"/>
        <v>24</v>
      </c>
      <c r="C36" s="13" t="s">
        <v>591</v>
      </c>
      <c r="D36" s="13" t="s">
        <v>592</v>
      </c>
      <c r="E36" s="7"/>
      <c r="F36" s="7" t="s">
        <v>318</v>
      </c>
      <c r="G36" s="7" t="str">
        <f t="shared" si="3"/>
        <v>text</v>
      </c>
      <c r="H36" s="26"/>
      <c r="I36" s="10"/>
      <c r="J36" s="11" t="s">
        <v>818</v>
      </c>
      <c r="N36" s="78"/>
      <c r="O36" s="78"/>
      <c r="P36" s="78" t="str">
        <f t="shared" si="4"/>
        <v>,a000020_kako_jisho_flag</v>
      </c>
      <c r="Q36" s="78" t="str">
        <f t="shared" si="0"/>
        <v>TEXT</v>
      </c>
      <c r="R36" s="78" t="str">
        <f t="shared" si="1"/>
        <v/>
      </c>
      <c r="S36" s="78" t="str">
        <f t="shared" si="6"/>
        <v/>
      </c>
      <c r="T36" s="78" t="str">
        <f t="shared" si="7"/>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milscm_2023_010.azn_202310_backup_merge_dpc_ff1.a000020_kako_jisho_flag IS '過去の自傷行為・自殺企図の有無';</v>
      </c>
    </row>
    <row r="37" spans="1:52" s="25" customFormat="1">
      <c r="A37" s="4"/>
      <c r="B37" s="21">
        <f t="shared" si="2"/>
        <v>25</v>
      </c>
      <c r="C37" s="6" t="s">
        <v>212</v>
      </c>
      <c r="D37" s="6" t="s">
        <v>593</v>
      </c>
      <c r="E37" s="8"/>
      <c r="F37" s="7" t="s">
        <v>318</v>
      </c>
      <c r="G37" s="7" t="str">
        <f t="shared" si="3"/>
        <v>text</v>
      </c>
      <c r="H37" s="58"/>
      <c r="I37" s="23"/>
      <c r="J37" s="24" t="s">
        <v>144</v>
      </c>
      <c r="N37" s="78"/>
      <c r="O37" s="78"/>
      <c r="P37" s="78" t="str">
        <f t="shared" si="4"/>
        <v>,a000030_taiin_ymd</v>
      </c>
      <c r="Q37" s="78" t="str">
        <f t="shared" si="0"/>
        <v>TEXT</v>
      </c>
      <c r="R37" s="78" t="str">
        <f t="shared" si="1"/>
        <v/>
      </c>
      <c r="S37" s="78" t="str">
        <f t="shared" si="6"/>
        <v/>
      </c>
      <c r="T37" s="78" t="str">
        <f t="shared" si="7"/>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milscm_2023_010.azn_202310_backup_merge_dpc_ff1.a000030_taiin_ymd IS '退院年月日';</v>
      </c>
    </row>
    <row r="38" spans="1:52" s="25" customFormat="1">
      <c r="A38" s="4"/>
      <c r="B38" s="21">
        <f t="shared" si="2"/>
        <v>26</v>
      </c>
      <c r="C38" s="6" t="s">
        <v>594</v>
      </c>
      <c r="D38" s="6" t="s">
        <v>595</v>
      </c>
      <c r="E38" s="8"/>
      <c r="F38" s="7" t="s">
        <v>318</v>
      </c>
      <c r="G38" s="7" t="str">
        <f t="shared" si="3"/>
        <v>text</v>
      </c>
      <c r="H38" s="26"/>
      <c r="I38" s="10"/>
      <c r="J38" s="11"/>
      <c r="N38" s="78"/>
      <c r="O38" s="78"/>
      <c r="P38" s="78" t="str">
        <f t="shared" si="4"/>
        <v>,a000030_taiin_saki</v>
      </c>
      <c r="Q38" s="78" t="str">
        <f t="shared" si="0"/>
        <v>TEXT</v>
      </c>
      <c r="R38" s="78" t="str">
        <f t="shared" si="1"/>
        <v/>
      </c>
      <c r="S38" s="78" t="str">
        <f t="shared" si="6"/>
        <v/>
      </c>
      <c r="T38" s="78" t="str">
        <f t="shared" si="7"/>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milscm_2023_010.azn_202310_backup_merge_dpc_ff1.a000030_taiin_saki IS '退院先';</v>
      </c>
    </row>
    <row r="39" spans="1:52" s="25" customFormat="1">
      <c r="A39" s="4"/>
      <c r="B39" s="21">
        <f t="shared" si="2"/>
        <v>27</v>
      </c>
      <c r="C39" s="13" t="s">
        <v>596</v>
      </c>
      <c r="D39" s="13" t="s">
        <v>597</v>
      </c>
      <c r="E39" s="7"/>
      <c r="F39" s="7" t="s">
        <v>318</v>
      </c>
      <c r="G39" s="7" t="str">
        <f t="shared" si="3"/>
        <v>text</v>
      </c>
      <c r="H39" s="58"/>
      <c r="I39" s="23"/>
      <c r="J39" s="24"/>
      <c r="N39" s="78"/>
      <c r="O39" s="78"/>
      <c r="P39" s="78" t="str">
        <f t="shared" si="4"/>
        <v>,a000030_taiin_tenki</v>
      </c>
      <c r="Q39" s="78" t="str">
        <f t="shared" si="0"/>
        <v>TEXT</v>
      </c>
      <c r="R39" s="78" t="str">
        <f t="shared" si="1"/>
        <v/>
      </c>
      <c r="S39" s="78" t="str">
        <f t="shared" si="6"/>
        <v/>
      </c>
      <c r="T39" s="78" t="str">
        <f t="shared" si="7"/>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milscm_2023_010.azn_202310_backup_merge_dpc_ff1.a000030_taiin_tenki IS '退院時転帰';</v>
      </c>
    </row>
    <row r="40" spans="1:52" s="25" customFormat="1" ht="75">
      <c r="A40" s="4"/>
      <c r="B40" s="21">
        <f t="shared" si="2"/>
        <v>28</v>
      </c>
      <c r="C40" s="6" t="s">
        <v>598</v>
      </c>
      <c r="D40" s="6" t="s">
        <v>599</v>
      </c>
      <c r="E40" s="8"/>
      <c r="F40" s="7" t="s">
        <v>318</v>
      </c>
      <c r="G40" s="7" t="str">
        <f t="shared" si="3"/>
        <v>text</v>
      </c>
      <c r="H40" s="26"/>
      <c r="I40" s="10"/>
      <c r="J40" s="11" t="s">
        <v>819</v>
      </c>
      <c r="N40" s="78"/>
      <c r="O40" s="78"/>
      <c r="P40" s="78" t="str">
        <f t="shared" si="4"/>
        <v>,a000030_death24_flag</v>
      </c>
      <c r="Q40" s="78" t="str">
        <f t="shared" si="0"/>
        <v>TEXT</v>
      </c>
      <c r="R40" s="78" t="str">
        <f t="shared" si="1"/>
        <v/>
      </c>
      <c r="S40" s="78" t="str">
        <f t="shared" si="6"/>
        <v/>
      </c>
      <c r="T40" s="78" t="str">
        <f t="shared" si="7"/>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milscm_2023_010.azn_202310_backup_merge_dpc_ff1.a000030_death24_flag IS '24時間以内の死亡の有無';</v>
      </c>
    </row>
    <row r="41" spans="1:52" s="25" customFormat="1" ht="31.5">
      <c r="A41" s="4"/>
      <c r="B41" s="21">
        <f t="shared" si="2"/>
        <v>29</v>
      </c>
      <c r="C41" s="13" t="s">
        <v>600</v>
      </c>
      <c r="D41" s="13" t="s">
        <v>601</v>
      </c>
      <c r="E41" s="7"/>
      <c r="F41" s="7" t="s">
        <v>318</v>
      </c>
      <c r="G41" s="7" t="str">
        <f t="shared" si="3"/>
        <v>text</v>
      </c>
      <c r="H41" s="58"/>
      <c r="I41" s="23"/>
      <c r="J41" s="24" t="s">
        <v>820</v>
      </c>
      <c r="N41" s="78"/>
      <c r="O41" s="78"/>
      <c r="P41" s="78" t="str">
        <f t="shared" si="4"/>
        <v>,a000030_taiin_homecare_flag</v>
      </c>
      <c r="Q41" s="78" t="str">
        <f t="shared" si="0"/>
        <v>TEXT</v>
      </c>
      <c r="R41" s="78" t="str">
        <f t="shared" si="1"/>
        <v/>
      </c>
      <c r="S41" s="78" t="str">
        <f t="shared" si="6"/>
        <v/>
      </c>
      <c r="T41" s="78" t="str">
        <f t="shared" si="7"/>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milscm_2023_010.azn_202310_backup_merge_dpc_ff1.a000030_taiin_homecare_flag IS '退院後の在宅医療の有無';</v>
      </c>
    </row>
    <row r="42" spans="1:52" s="25" customFormat="1">
      <c r="A42" s="4"/>
      <c r="B42" s="21">
        <f t="shared" si="2"/>
        <v>30</v>
      </c>
      <c r="C42" s="6" t="s">
        <v>602</v>
      </c>
      <c r="D42" s="6" t="s">
        <v>603</v>
      </c>
      <c r="E42" s="8"/>
      <c r="F42" s="7" t="s">
        <v>318</v>
      </c>
      <c r="G42" s="7" t="str">
        <f t="shared" si="3"/>
        <v>text</v>
      </c>
      <c r="H42" s="26"/>
      <c r="I42" s="10"/>
      <c r="J42" s="11" t="s">
        <v>144</v>
      </c>
      <c r="N42" s="78"/>
      <c r="O42" s="78"/>
      <c r="P42" s="78" t="str">
        <f t="shared" si="4"/>
        <v>,a000031_ff1_start_ymd</v>
      </c>
      <c r="Q42" s="78" t="str">
        <f t="shared" si="0"/>
        <v>TEXT</v>
      </c>
      <c r="R42" s="78" t="str">
        <f t="shared" si="1"/>
        <v/>
      </c>
      <c r="S42" s="78" t="str">
        <f t="shared" si="6"/>
        <v/>
      </c>
      <c r="T42" s="78" t="str">
        <f t="shared" si="7"/>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milscm_2023_010.azn_202310_backup_merge_dpc_ff1.a000031_ff1_start_ymd IS '様式1開始日';</v>
      </c>
    </row>
    <row r="43" spans="1:52" s="25" customFormat="1">
      <c r="A43" s="4"/>
      <c r="B43" s="21">
        <f t="shared" si="2"/>
        <v>31</v>
      </c>
      <c r="C43" s="13" t="s">
        <v>604</v>
      </c>
      <c r="D43" s="13" t="s">
        <v>605</v>
      </c>
      <c r="E43" s="7"/>
      <c r="F43" s="7" t="s">
        <v>318</v>
      </c>
      <c r="G43" s="7" t="str">
        <f t="shared" si="3"/>
        <v>text</v>
      </c>
      <c r="H43" s="58"/>
      <c r="I43" s="23"/>
      <c r="J43" s="24" t="s">
        <v>144</v>
      </c>
      <c r="N43" s="78"/>
      <c r="O43" s="78"/>
      <c r="P43" s="78" t="str">
        <f t="shared" si="4"/>
        <v>,a000031_ff1_end_ymd</v>
      </c>
      <c r="Q43" s="78" t="str">
        <f t="shared" si="0"/>
        <v>TEXT</v>
      </c>
      <c r="R43" s="78" t="str">
        <f t="shared" si="1"/>
        <v/>
      </c>
      <c r="S43" s="78" t="str">
        <f t="shared" si="6"/>
        <v/>
      </c>
      <c r="T43" s="78" t="str">
        <f t="shared" si="7"/>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milscm_2023_010.azn_202310_backup_merge_dpc_ff1.a000031_ff1_end_ymd IS '様式1終了日';</v>
      </c>
    </row>
    <row r="44" spans="1:52" s="25" customFormat="1" ht="31.5">
      <c r="A44" s="4"/>
      <c r="B44" s="21">
        <f t="shared" si="2"/>
        <v>32</v>
      </c>
      <c r="C44" s="6" t="s">
        <v>606</v>
      </c>
      <c r="D44" s="6" t="s">
        <v>607</v>
      </c>
      <c r="E44" s="8"/>
      <c r="F44" s="7" t="s">
        <v>318</v>
      </c>
      <c r="G44" s="7" t="str">
        <f t="shared" si="3"/>
        <v>text</v>
      </c>
      <c r="H44" s="26"/>
      <c r="I44" s="10"/>
      <c r="J44" s="11"/>
      <c r="N44" s="78"/>
      <c r="O44" s="78"/>
      <c r="P44" s="78" t="str">
        <f t="shared" si="4"/>
        <v>,a000040_department_code</v>
      </c>
      <c r="Q44" s="78" t="str">
        <f t="shared" si="0"/>
        <v>TEXT</v>
      </c>
      <c r="R44" s="78" t="str">
        <f t="shared" si="1"/>
        <v/>
      </c>
      <c r="S44" s="78" t="str">
        <f t="shared" si="6"/>
        <v/>
      </c>
      <c r="T44" s="78" t="str">
        <f t="shared" si="7"/>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milscm_2023_010.azn_202310_backup_merge_dpc_ff1.a000040_department_code IS '診療科コード';</v>
      </c>
    </row>
    <row r="45" spans="1:52" s="25" customFormat="1">
      <c r="A45" s="4"/>
      <c r="B45" s="21">
        <f t="shared" si="2"/>
        <v>33</v>
      </c>
      <c r="C45" s="13" t="s">
        <v>608</v>
      </c>
      <c r="D45" s="13" t="s">
        <v>609</v>
      </c>
      <c r="E45" s="7"/>
      <c r="F45" s="7" t="s">
        <v>318</v>
      </c>
      <c r="G45" s="7" t="str">
        <f t="shared" si="3"/>
        <v>text</v>
      </c>
      <c r="H45" s="58"/>
      <c r="I45" s="23"/>
      <c r="J45" s="24" t="s">
        <v>816</v>
      </c>
      <c r="N45" s="78"/>
      <c r="O45" s="78"/>
      <c r="P45" s="78" t="str">
        <f t="shared" si="4"/>
        <v>,a000040_tenka_flag</v>
      </c>
      <c r="Q45" s="78" t="str">
        <f t="shared" si="0"/>
        <v>TEXT</v>
      </c>
      <c r="R45" s="78" t="str">
        <f t="shared" si="1"/>
        <v/>
      </c>
      <c r="S45" s="78" t="str">
        <f t="shared" si="6"/>
        <v/>
      </c>
      <c r="T45" s="78" t="str">
        <f t="shared" si="7"/>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milscm_2023_010.azn_202310_backup_merge_dpc_ff1.a000040_tenka_flag IS '転科の有無';</v>
      </c>
    </row>
    <row r="46" spans="1:52" s="25" customFormat="1" ht="31.5">
      <c r="A46" s="4"/>
      <c r="B46" s="21">
        <f t="shared" si="2"/>
        <v>34</v>
      </c>
      <c r="C46" s="6" t="s">
        <v>610</v>
      </c>
      <c r="D46" s="6" t="s">
        <v>611</v>
      </c>
      <c r="E46" s="8"/>
      <c r="F46" s="7" t="s">
        <v>318</v>
      </c>
      <c r="G46" s="7" t="str">
        <f t="shared" si="3"/>
        <v>text</v>
      </c>
      <c r="H46" s="58"/>
      <c r="I46" s="23"/>
      <c r="J46" s="24"/>
      <c r="N46" s="78"/>
      <c r="O46" s="78"/>
      <c r="P46" s="78" t="str">
        <f t="shared" si="4"/>
        <v>,a000050_ippan_ward_flag</v>
      </c>
      <c r="Q46" s="78" t="str">
        <f t="shared" si="0"/>
        <v>TEXT</v>
      </c>
      <c r="R46" s="78" t="str">
        <f t="shared" si="1"/>
        <v/>
      </c>
      <c r="S46" s="78" t="str">
        <f t="shared" si="6"/>
        <v/>
      </c>
      <c r="T46" s="78" t="str">
        <f t="shared" si="7"/>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milscm_2023_010.azn_202310_backup_merge_dpc_ff1.a000050_ippan_ward_flag IS '調査対象となる一般病棟への入院の有無';</v>
      </c>
    </row>
    <row r="47" spans="1:52" s="25" customFormat="1" ht="31.5">
      <c r="A47" s="4"/>
      <c r="B47" s="21">
        <f t="shared" si="2"/>
        <v>35</v>
      </c>
      <c r="C47" s="13" t="s">
        <v>612</v>
      </c>
      <c r="D47" s="13" t="s">
        <v>613</v>
      </c>
      <c r="E47" s="7"/>
      <c r="F47" s="7" t="s">
        <v>318</v>
      </c>
      <c r="G47" s="7" t="str">
        <f t="shared" si="3"/>
        <v>text</v>
      </c>
      <c r="H47" s="26"/>
      <c r="I47" s="10"/>
      <c r="J47" s="11"/>
      <c r="N47" s="78"/>
      <c r="O47" s="78"/>
      <c r="P47" s="78" t="str">
        <f t="shared" si="4"/>
        <v>,a000050_seishin_ward_flag</v>
      </c>
      <c r="Q47" s="78" t="str">
        <f t="shared" si="0"/>
        <v>TEXT</v>
      </c>
      <c r="R47" s="78" t="str">
        <f t="shared" si="1"/>
        <v/>
      </c>
      <c r="S47" s="78" t="str">
        <f t="shared" si="6"/>
        <v/>
      </c>
      <c r="T47" s="78" t="str">
        <f t="shared" si="7"/>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milscm_2023_010.azn_202310_backup_merge_dpc_ff1.a000050_seishin_ward_flag IS '調査対象となる精神病棟への入院の有無';</v>
      </c>
      <c r="AT47" s="4"/>
      <c r="AU47" s="4"/>
    </row>
    <row r="48" spans="1:52" s="25" customFormat="1" ht="31.5">
      <c r="A48" s="4"/>
      <c r="B48" s="21">
        <f t="shared" si="2"/>
        <v>36</v>
      </c>
      <c r="C48" s="13" t="s">
        <v>614</v>
      </c>
      <c r="D48" s="13" t="s">
        <v>615</v>
      </c>
      <c r="E48" s="7"/>
      <c r="F48" s="7" t="s">
        <v>318</v>
      </c>
      <c r="G48" s="7" t="str">
        <f t="shared" si="3"/>
        <v>text</v>
      </c>
      <c r="H48" s="26"/>
      <c r="I48" s="10"/>
      <c r="J48" s="11"/>
      <c r="L48" s="4"/>
      <c r="N48" s="78"/>
      <c r="O48" s="78"/>
      <c r="P48" s="78" t="str">
        <f t="shared" ref="P48:P111" si="8">IF(B48&lt;&gt;1,","&amp;D48,D48)</f>
        <v>,a000050_other_ward_flag</v>
      </c>
      <c r="Q48" s="78" t="str">
        <f t="shared" ref="Q48:Q111" si="9">UPPER(G48)</f>
        <v>TEXT</v>
      </c>
      <c r="R48" s="78" t="str">
        <f t="shared" ref="R48:R111" si="10">IF(H48&lt;&gt;"","default "&amp;IF(G48="text","'"&amp;H48&amp;"'",H48),"")</f>
        <v/>
      </c>
      <c r="S48" s="78" t="str">
        <f t="shared" ref="S48:S111" si="11">IF(I48="○","NOT NULL","")</f>
        <v/>
      </c>
      <c r="T48" s="78" t="str">
        <f t="shared" ref="T48:T111" si="12">"-- "&amp;C48</f>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616</v>
      </c>
      <c r="D49" s="13" t="s">
        <v>617</v>
      </c>
      <c r="E49" s="7"/>
      <c r="F49" s="7" t="s">
        <v>318</v>
      </c>
      <c r="G49" s="7" t="str">
        <f t="shared" si="3"/>
        <v>text</v>
      </c>
      <c r="H49" s="58"/>
      <c r="I49" s="23"/>
      <c r="J49" s="24" t="s">
        <v>821</v>
      </c>
      <c r="L49" s="4"/>
      <c r="N49" s="78"/>
      <c r="O49" s="78"/>
      <c r="P49" s="78" t="str">
        <f t="shared" si="8"/>
        <v>,a000060_shinryo_purpose</v>
      </c>
      <c r="Q49" s="78" t="str">
        <f t="shared" si="9"/>
        <v>TEXT</v>
      </c>
      <c r="R49" s="78" t="str">
        <f t="shared" si="10"/>
        <v/>
      </c>
      <c r="S49" s="78" t="str">
        <f t="shared" si="11"/>
        <v/>
      </c>
      <c r="T49" s="78" t="str">
        <f t="shared" si="12"/>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milscm_2023_010.azn_202310_backup_merge_dpc_ff1.a000060_shinryo_purpose IS '入院中の主な診療目的';</v>
      </c>
      <c r="AT49" s="4"/>
      <c r="AU49" s="4"/>
      <c r="AV49" s="4"/>
      <c r="AW49" s="4"/>
      <c r="AX49" s="4"/>
      <c r="AY49" s="4"/>
      <c r="AZ49" s="4"/>
    </row>
    <row r="50" spans="1:52" s="25" customFormat="1">
      <c r="A50" s="4"/>
      <c r="B50" s="21">
        <f t="shared" si="2"/>
        <v>38</v>
      </c>
      <c r="C50" s="6" t="s">
        <v>618</v>
      </c>
      <c r="D50" s="6" t="s">
        <v>619</v>
      </c>
      <c r="E50" s="8"/>
      <c r="F50" s="7" t="s">
        <v>318</v>
      </c>
      <c r="G50" s="7" t="str">
        <f t="shared" si="3"/>
        <v>text</v>
      </c>
      <c r="H50" s="26"/>
      <c r="I50" s="10"/>
      <c r="J50" s="11" t="s">
        <v>816</v>
      </c>
      <c r="L50" s="4"/>
      <c r="N50" s="78"/>
      <c r="O50" s="78"/>
      <c r="P50" s="78" t="str">
        <f t="shared" si="8"/>
        <v>,a000060_trial_flag</v>
      </c>
      <c r="Q50" s="78" t="str">
        <f t="shared" si="9"/>
        <v>TEXT</v>
      </c>
      <c r="R50" s="78" t="str">
        <f t="shared" si="10"/>
        <v/>
      </c>
      <c r="S50" s="78" t="str">
        <f t="shared" si="11"/>
        <v/>
      </c>
      <c r="T50" s="78" t="str">
        <f t="shared" si="12"/>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milscm_2023_010.azn_202310_backup_merge_dpc_ff1.a000060_trial_flag IS '治験実施の有無';</v>
      </c>
      <c r="AT50" s="4"/>
      <c r="AU50" s="4"/>
      <c r="AV50" s="4"/>
      <c r="AW50" s="4"/>
      <c r="AX50" s="4"/>
      <c r="AY50" s="4"/>
      <c r="AZ50" s="4"/>
    </row>
    <row r="51" spans="1:52" s="25" customFormat="1">
      <c r="A51" s="4"/>
      <c r="B51" s="21">
        <f t="shared" si="2"/>
        <v>39</v>
      </c>
      <c r="C51" s="13" t="s">
        <v>620</v>
      </c>
      <c r="D51" s="13" t="s">
        <v>621</v>
      </c>
      <c r="E51" s="7"/>
      <c r="F51" s="7" t="s">
        <v>318</v>
      </c>
      <c r="G51" s="7" t="str">
        <f t="shared" si="3"/>
        <v>text</v>
      </c>
      <c r="H51" s="58"/>
      <c r="I51" s="23"/>
      <c r="J51" s="24" t="s">
        <v>144</v>
      </c>
      <c r="L51" s="4"/>
      <c r="N51" s="78"/>
      <c r="O51" s="78"/>
      <c r="P51" s="78" t="str">
        <f t="shared" si="8"/>
        <v>,a000070_zentaiin_ymd</v>
      </c>
      <c r="Q51" s="78" t="str">
        <f t="shared" si="9"/>
        <v>TEXT</v>
      </c>
      <c r="R51" s="78" t="str">
        <f t="shared" si="10"/>
        <v/>
      </c>
      <c r="S51" s="78" t="str">
        <f t="shared" si="11"/>
        <v/>
      </c>
      <c r="T51" s="78" t="str">
        <f t="shared" si="12"/>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milscm_2023_010.azn_202310_backup_merge_dpc_ff1.a000070_zentaiin_ymd IS '前回退院年月日';</v>
      </c>
      <c r="AT51" s="4"/>
      <c r="AU51" s="4"/>
      <c r="AV51" s="4"/>
      <c r="AW51" s="4"/>
      <c r="AX51" s="4"/>
      <c r="AY51" s="4"/>
      <c r="AZ51" s="4"/>
    </row>
    <row r="52" spans="1:52" s="25" customFormat="1" ht="31.5">
      <c r="A52" s="4"/>
      <c r="B52" s="21">
        <f t="shared" si="2"/>
        <v>40</v>
      </c>
      <c r="C52" s="6" t="s">
        <v>622</v>
      </c>
      <c r="D52" s="6" t="s">
        <v>623</v>
      </c>
      <c r="E52" s="8"/>
      <c r="F52" s="7" t="s">
        <v>318</v>
      </c>
      <c r="G52" s="7" t="str">
        <f t="shared" si="3"/>
        <v>text</v>
      </c>
      <c r="H52" s="26"/>
      <c r="I52" s="10"/>
      <c r="J52" s="11" t="s">
        <v>144</v>
      </c>
      <c r="L52" s="4"/>
      <c r="N52" s="78"/>
      <c r="O52" s="78"/>
      <c r="P52" s="78" t="str">
        <f t="shared" si="8"/>
        <v>,a000070_same_jiin_nyuin_flag</v>
      </c>
      <c r="Q52" s="78" t="str">
        <f t="shared" si="9"/>
        <v>TEXT</v>
      </c>
      <c r="R52" s="78" t="str">
        <f t="shared" si="10"/>
        <v/>
      </c>
      <c r="S52" s="78" t="str">
        <f t="shared" si="11"/>
        <v/>
      </c>
      <c r="T52" s="78" t="str">
        <f t="shared" si="12"/>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624</v>
      </c>
      <c r="D53" s="13" t="s">
        <v>625</v>
      </c>
      <c r="E53" s="7"/>
      <c r="F53" s="7" t="s">
        <v>318</v>
      </c>
      <c r="G53" s="7" t="str">
        <f t="shared" si="3"/>
        <v>text</v>
      </c>
      <c r="H53" s="58"/>
      <c r="I53" s="23"/>
      <c r="J53" s="24" t="s">
        <v>822</v>
      </c>
      <c r="L53" s="4"/>
      <c r="N53" s="78"/>
      <c r="O53" s="78"/>
      <c r="P53" s="78" t="str">
        <f t="shared" si="8"/>
        <v>,a000080_sai_nyuin_type</v>
      </c>
      <c r="Q53" s="78" t="str">
        <f t="shared" si="9"/>
        <v>TEXT</v>
      </c>
      <c r="R53" s="78" t="str">
        <f t="shared" si="10"/>
        <v/>
      </c>
      <c r="S53" s="78" t="str">
        <f t="shared" si="11"/>
        <v/>
      </c>
      <c r="T53" s="78" t="str">
        <f t="shared" si="12"/>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milscm_2023_010.azn_202310_backup_merge_dpc_ff1.a000080_sai_nyuin_type IS '再入院種別';</v>
      </c>
      <c r="AT53" s="4"/>
      <c r="AU53" s="4"/>
      <c r="AV53" s="4"/>
      <c r="AW53" s="4"/>
      <c r="AX53" s="4"/>
      <c r="AY53" s="4"/>
      <c r="AZ53" s="4"/>
    </row>
    <row r="54" spans="1:52" s="25" customFormat="1">
      <c r="A54" s="4"/>
      <c r="B54" s="21">
        <f t="shared" si="2"/>
        <v>42</v>
      </c>
      <c r="C54" s="6" t="s">
        <v>626</v>
      </c>
      <c r="D54" s="6" t="s">
        <v>627</v>
      </c>
      <c r="E54" s="8"/>
      <c r="F54" s="7" t="s">
        <v>318</v>
      </c>
      <c r="G54" s="7" t="str">
        <f t="shared" si="3"/>
        <v>text</v>
      </c>
      <c r="H54" s="26"/>
      <c r="I54" s="10"/>
      <c r="J54" s="11"/>
      <c r="L54" s="4"/>
      <c r="M54" s="4"/>
      <c r="N54" s="78"/>
      <c r="O54" s="78"/>
      <c r="P54" s="78" t="str">
        <f t="shared" si="8"/>
        <v>,a000080_riyu_type</v>
      </c>
      <c r="Q54" s="78" t="str">
        <f t="shared" si="9"/>
        <v>TEXT</v>
      </c>
      <c r="R54" s="78" t="str">
        <f t="shared" si="10"/>
        <v/>
      </c>
      <c r="S54" s="78" t="str">
        <f t="shared" si="11"/>
        <v/>
      </c>
      <c r="T54" s="78" t="str">
        <f t="shared" si="12"/>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milscm_2023_010.azn_202310_backup_merge_dpc_ff1.a000080_riyu_type IS '理由の種別';</v>
      </c>
      <c r="AT54" s="4"/>
      <c r="AU54" s="4"/>
      <c r="AV54" s="4"/>
      <c r="AW54" s="4"/>
      <c r="AX54" s="4"/>
      <c r="AY54" s="4"/>
      <c r="AZ54" s="4"/>
    </row>
    <row r="55" spans="1:52" s="25" customFormat="1">
      <c r="A55" s="4"/>
      <c r="B55" s="21">
        <f t="shared" si="2"/>
        <v>43</v>
      </c>
      <c r="C55" s="6" t="s">
        <v>628</v>
      </c>
      <c r="D55" s="6" t="s">
        <v>629</v>
      </c>
      <c r="E55" s="8"/>
      <c r="F55" s="7" t="s">
        <v>318</v>
      </c>
      <c r="G55" s="7" t="str">
        <f t="shared" si="3"/>
        <v>text</v>
      </c>
      <c r="H55" s="58"/>
      <c r="I55" s="23"/>
      <c r="J55" s="24" t="s">
        <v>823</v>
      </c>
      <c r="L55" s="4"/>
      <c r="M55" s="4"/>
      <c r="N55" s="78"/>
      <c r="O55" s="78"/>
      <c r="P55" s="78" t="str">
        <f t="shared" si="8"/>
        <v>,a000080_free_entry</v>
      </c>
      <c r="Q55" s="78" t="str">
        <f t="shared" si="9"/>
        <v>TEXT</v>
      </c>
      <c r="R55" s="78" t="str">
        <f t="shared" si="10"/>
        <v/>
      </c>
      <c r="S55" s="78" t="str">
        <f t="shared" si="11"/>
        <v/>
      </c>
      <c r="T55" s="78" t="str">
        <f t="shared" si="12"/>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milscm_2023_010.azn_202310_backup_merge_dpc_ff1.a000080_free_entry IS '自由記載欄';</v>
      </c>
      <c r="AT55" s="4"/>
      <c r="AU55" s="4"/>
      <c r="AV55" s="4"/>
      <c r="AW55" s="4"/>
      <c r="AX55" s="4"/>
      <c r="AY55" s="4"/>
      <c r="AZ55" s="4"/>
    </row>
    <row r="56" spans="1:52" s="25" customFormat="1">
      <c r="A56" s="4"/>
      <c r="B56" s="21">
        <f t="shared" si="2"/>
        <v>44</v>
      </c>
      <c r="C56" s="13" t="s">
        <v>630</v>
      </c>
      <c r="D56" s="13" t="s">
        <v>631</v>
      </c>
      <c r="E56" s="7"/>
      <c r="F56" s="7" t="s">
        <v>318</v>
      </c>
      <c r="G56" s="7" t="str">
        <f t="shared" si="3"/>
        <v>text</v>
      </c>
      <c r="H56" s="26"/>
      <c r="I56" s="10"/>
      <c r="J56" s="11" t="s">
        <v>824</v>
      </c>
      <c r="L56" s="4"/>
      <c r="M56" s="4"/>
      <c r="N56" s="78"/>
      <c r="O56" s="78"/>
      <c r="P56" s="78" t="str">
        <f t="shared" si="8"/>
        <v>,a000090_sai_tento_type</v>
      </c>
      <c r="Q56" s="78" t="str">
        <f t="shared" si="9"/>
        <v>TEXT</v>
      </c>
      <c r="R56" s="78" t="str">
        <f t="shared" si="10"/>
        <v/>
      </c>
      <c r="S56" s="78" t="str">
        <f t="shared" si="11"/>
        <v/>
      </c>
      <c r="T56" s="78" t="str">
        <f t="shared" si="12"/>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milscm_2023_010.azn_202310_backup_merge_dpc_ff1.a000090_sai_tento_type IS '再転棟種別';</v>
      </c>
      <c r="AT56" s="4"/>
      <c r="AU56" s="4"/>
      <c r="AV56" s="4"/>
      <c r="AW56" s="4"/>
      <c r="AX56" s="4"/>
      <c r="AY56" s="4"/>
      <c r="AZ56" s="4"/>
    </row>
    <row r="57" spans="1:52" s="25" customFormat="1">
      <c r="A57" s="4"/>
      <c r="B57" s="21">
        <f t="shared" si="2"/>
        <v>45</v>
      </c>
      <c r="C57" s="6" t="s">
        <v>626</v>
      </c>
      <c r="D57" s="6" t="s">
        <v>632</v>
      </c>
      <c r="E57" s="8"/>
      <c r="F57" s="7" t="s">
        <v>318</v>
      </c>
      <c r="G57" s="7" t="str">
        <f t="shared" si="3"/>
        <v>text</v>
      </c>
      <c r="H57" s="58"/>
      <c r="I57" s="23"/>
      <c r="J57" s="24"/>
      <c r="L57" s="4"/>
      <c r="M57" s="4"/>
      <c r="N57" s="78"/>
      <c r="O57" s="78"/>
      <c r="P57" s="78" t="str">
        <f t="shared" si="8"/>
        <v>,a000090_riyu_type</v>
      </c>
      <c r="Q57" s="78" t="str">
        <f t="shared" si="9"/>
        <v>TEXT</v>
      </c>
      <c r="R57" s="78" t="str">
        <f t="shared" si="10"/>
        <v/>
      </c>
      <c r="S57" s="78" t="str">
        <f t="shared" si="11"/>
        <v/>
      </c>
      <c r="T57" s="78" t="str">
        <f t="shared" si="12"/>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milscm_2023_010.azn_202310_backup_merge_dpc_ff1.a000090_riyu_type IS '理由の種別';</v>
      </c>
      <c r="AT57" s="4"/>
      <c r="AU57" s="4"/>
      <c r="AV57" s="4"/>
      <c r="AW57" s="4"/>
      <c r="AX57" s="4"/>
      <c r="AY57" s="4"/>
      <c r="AZ57" s="4"/>
    </row>
    <row r="58" spans="1:52" s="25" customFormat="1">
      <c r="A58" s="4"/>
      <c r="B58" s="21">
        <f t="shared" si="2"/>
        <v>46</v>
      </c>
      <c r="C58" s="13" t="s">
        <v>628</v>
      </c>
      <c r="D58" s="13" t="s">
        <v>633</v>
      </c>
      <c r="E58" s="7"/>
      <c r="F58" s="7" t="s">
        <v>318</v>
      </c>
      <c r="G58" s="7" t="str">
        <f t="shared" si="3"/>
        <v>text</v>
      </c>
      <c r="H58" s="58"/>
      <c r="I58" s="23"/>
      <c r="J58" s="24" t="s">
        <v>823</v>
      </c>
      <c r="L58" s="4"/>
      <c r="M58" s="4"/>
      <c r="N58" s="78"/>
      <c r="O58" s="78"/>
      <c r="P58" s="78" t="str">
        <f t="shared" si="8"/>
        <v>,a000090_free_entry</v>
      </c>
      <c r="Q58" s="78" t="str">
        <f t="shared" si="9"/>
        <v>TEXT</v>
      </c>
      <c r="R58" s="78" t="str">
        <f t="shared" si="10"/>
        <v/>
      </c>
      <c r="S58" s="78" t="str">
        <f t="shared" si="11"/>
        <v/>
      </c>
      <c r="T58" s="78" t="str">
        <f t="shared" si="12"/>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milscm_2023_010.azn_202310_backup_merge_dpc_ff1.a000090_free_entry IS '自由記載欄';</v>
      </c>
      <c r="AT58" s="4"/>
      <c r="AU58" s="4"/>
      <c r="AV58" s="4"/>
      <c r="AW58" s="4"/>
      <c r="AX58" s="4"/>
      <c r="AY58" s="4"/>
      <c r="AZ58" s="4"/>
    </row>
    <row r="59" spans="1:52" s="25" customFormat="1">
      <c r="A59" s="4"/>
      <c r="B59" s="21">
        <f t="shared" si="2"/>
        <v>47</v>
      </c>
      <c r="C59" s="6" t="s">
        <v>634</v>
      </c>
      <c r="D59" s="6" t="s">
        <v>635</v>
      </c>
      <c r="E59" s="8"/>
      <c r="F59" s="7" t="s">
        <v>318</v>
      </c>
      <c r="G59" s="7" t="str">
        <f t="shared" si="3"/>
        <v>text</v>
      </c>
      <c r="H59" s="26"/>
      <c r="I59" s="10"/>
      <c r="J59" s="11" t="s">
        <v>825</v>
      </c>
      <c r="L59" s="4"/>
      <c r="M59" s="4"/>
      <c r="N59" s="78"/>
      <c r="O59" s="78"/>
      <c r="P59" s="78" t="str">
        <f t="shared" si="8"/>
        <v>,a001010_height</v>
      </c>
      <c r="Q59" s="78" t="str">
        <f t="shared" si="9"/>
        <v>TEXT</v>
      </c>
      <c r="R59" s="78" t="str">
        <f t="shared" si="10"/>
        <v/>
      </c>
      <c r="S59" s="78" t="str">
        <f t="shared" si="11"/>
        <v/>
      </c>
      <c r="T59" s="78" t="str">
        <f t="shared" si="12"/>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milscm_2023_010.azn_202310_backup_merge_dpc_ff1.a001010_height IS '身長';</v>
      </c>
      <c r="AT59" s="4"/>
      <c r="AU59" s="4"/>
      <c r="AV59" s="4"/>
      <c r="AW59" s="4"/>
      <c r="AX59" s="4"/>
      <c r="AY59" s="4"/>
      <c r="AZ59" s="4"/>
    </row>
    <row r="60" spans="1:52" s="25" customFormat="1" ht="37.5">
      <c r="A60" s="4"/>
      <c r="B60" s="21">
        <f t="shared" si="2"/>
        <v>48</v>
      </c>
      <c r="C60" s="13" t="s">
        <v>636</v>
      </c>
      <c r="D60" s="13" t="s">
        <v>637</v>
      </c>
      <c r="E60" s="7"/>
      <c r="F60" s="7" t="s">
        <v>318</v>
      </c>
      <c r="G60" s="7" t="str">
        <f t="shared" si="3"/>
        <v>text</v>
      </c>
      <c r="H60" s="26"/>
      <c r="I60" s="10"/>
      <c r="J60" s="11" t="s">
        <v>826</v>
      </c>
      <c r="L60" s="4"/>
      <c r="M60" s="4"/>
      <c r="N60" s="78"/>
      <c r="O60" s="78"/>
      <c r="P60" s="78" t="str">
        <f t="shared" si="8"/>
        <v>,a001010_weight</v>
      </c>
      <c r="Q60" s="78" t="str">
        <f t="shared" si="9"/>
        <v>TEXT</v>
      </c>
      <c r="R60" s="78" t="str">
        <f t="shared" si="10"/>
        <v/>
      </c>
      <c r="S60" s="78" t="str">
        <f t="shared" si="11"/>
        <v/>
      </c>
      <c r="T60" s="78" t="str">
        <f t="shared" si="12"/>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milscm_2023_010.azn_202310_backup_merge_dpc_ff1.a001010_weight IS '体重';</v>
      </c>
      <c r="AT60" s="4"/>
      <c r="AU60" s="4"/>
      <c r="AV60" s="4"/>
      <c r="AW60" s="4"/>
      <c r="AX60" s="4"/>
      <c r="AY60" s="4"/>
      <c r="AZ60" s="4"/>
    </row>
    <row r="61" spans="1:52" s="25" customFormat="1">
      <c r="A61" s="4"/>
      <c r="B61" s="21">
        <f t="shared" si="2"/>
        <v>49</v>
      </c>
      <c r="C61" s="6" t="s">
        <v>638</v>
      </c>
      <c r="D61" s="6" t="s">
        <v>639</v>
      </c>
      <c r="E61" s="8"/>
      <c r="F61" s="7" t="s">
        <v>318</v>
      </c>
      <c r="G61" s="7" t="str">
        <f t="shared" si="3"/>
        <v>text</v>
      </c>
      <c r="H61" s="58"/>
      <c r="I61" s="23"/>
      <c r="J61" s="24" t="s">
        <v>827</v>
      </c>
      <c r="L61" s="4"/>
      <c r="M61" s="4"/>
      <c r="N61" s="78"/>
      <c r="O61" s="78"/>
      <c r="P61" s="78" t="str">
        <f t="shared" si="8"/>
        <v>,a001020_smoking</v>
      </c>
      <c r="Q61" s="78" t="str">
        <f t="shared" si="9"/>
        <v>TEXT</v>
      </c>
      <c r="R61" s="78" t="str">
        <f t="shared" si="10"/>
        <v/>
      </c>
      <c r="S61" s="78" t="str">
        <f t="shared" si="11"/>
        <v/>
      </c>
      <c r="T61" s="78" t="str">
        <f t="shared" si="12"/>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milscm_2023_010.azn_202310_backup_merge_dpc_ff1.a001020_smoking IS '喫煙指数';</v>
      </c>
      <c r="AT61" s="4"/>
      <c r="AU61" s="4"/>
      <c r="AV61" s="4"/>
      <c r="AW61" s="4"/>
      <c r="AX61" s="4"/>
      <c r="AY61" s="4"/>
      <c r="AZ61" s="4"/>
    </row>
    <row r="62" spans="1:52" s="25" customFormat="1">
      <c r="A62" s="4"/>
      <c r="B62" s="21">
        <f t="shared" si="2"/>
        <v>50</v>
      </c>
      <c r="C62" s="13" t="s">
        <v>640</v>
      </c>
      <c r="D62" s="13" t="s">
        <v>641</v>
      </c>
      <c r="E62" s="7"/>
      <c r="F62" s="7" t="s">
        <v>318</v>
      </c>
      <c r="G62" s="7" t="str">
        <f t="shared" si="3"/>
        <v>text</v>
      </c>
      <c r="H62" s="26"/>
      <c r="I62" s="10"/>
      <c r="J62" s="11" t="s">
        <v>828</v>
      </c>
      <c r="L62" s="4"/>
      <c r="M62" s="4"/>
      <c r="N62" s="78"/>
      <c r="O62" s="78"/>
      <c r="P62" s="78" t="str">
        <f t="shared" si="8"/>
        <v>,a002010_ninshin_flag</v>
      </c>
      <c r="Q62" s="78" t="str">
        <f t="shared" si="9"/>
        <v>TEXT</v>
      </c>
      <c r="R62" s="78" t="str">
        <f t="shared" si="10"/>
        <v/>
      </c>
      <c r="S62" s="78" t="str">
        <f t="shared" si="11"/>
        <v/>
      </c>
      <c r="T62" s="78" t="str">
        <f t="shared" si="12"/>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milscm_2023_010.azn_202310_backup_merge_dpc_ff1.a002010_ninshin_flag IS '現在の妊娠の有無';</v>
      </c>
      <c r="AT62" s="4"/>
      <c r="AU62" s="4"/>
      <c r="AV62" s="4"/>
      <c r="AW62" s="4"/>
      <c r="AX62" s="4"/>
      <c r="AY62" s="4"/>
      <c r="AZ62" s="4"/>
    </row>
    <row r="63" spans="1:52" s="25" customFormat="1">
      <c r="A63" s="4"/>
      <c r="B63" s="21">
        <f t="shared" si="2"/>
        <v>51</v>
      </c>
      <c r="C63" s="6" t="s">
        <v>642</v>
      </c>
      <c r="D63" s="6" t="s">
        <v>643</v>
      </c>
      <c r="E63" s="8"/>
      <c r="F63" s="7" t="s">
        <v>318</v>
      </c>
      <c r="G63" s="7" t="str">
        <f t="shared" si="3"/>
        <v>text</v>
      </c>
      <c r="H63" s="58"/>
      <c r="I63" s="23"/>
      <c r="J63" s="24" t="s">
        <v>829</v>
      </c>
      <c r="L63" s="4"/>
      <c r="M63" s="4"/>
      <c r="N63" s="78"/>
      <c r="O63" s="78"/>
      <c r="P63" s="78" t="str">
        <f t="shared" si="8"/>
        <v>,a002010_nyuin_ninshin</v>
      </c>
      <c r="Q63" s="78" t="str">
        <f t="shared" si="9"/>
        <v>TEXT</v>
      </c>
      <c r="R63" s="78" t="str">
        <f t="shared" si="10"/>
        <v/>
      </c>
      <c r="S63" s="78" t="str">
        <f t="shared" si="11"/>
        <v/>
      </c>
      <c r="T63" s="78" t="str">
        <f t="shared" si="12"/>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milscm_2023_010.azn_202310_backup_merge_dpc_ff1.a002010_nyuin_ninshin IS '入院時の妊娠週数';</v>
      </c>
      <c r="AT63" s="4"/>
      <c r="AU63" s="4"/>
      <c r="AV63" s="4"/>
      <c r="AW63" s="4"/>
      <c r="AX63" s="4"/>
      <c r="AY63" s="4"/>
      <c r="AZ63" s="4"/>
    </row>
    <row r="64" spans="1:52" s="25" customFormat="1">
      <c r="A64" s="4"/>
      <c r="B64" s="21">
        <f t="shared" si="2"/>
        <v>52</v>
      </c>
      <c r="C64" s="13" t="s">
        <v>644</v>
      </c>
      <c r="D64" s="13" t="s">
        <v>645</v>
      </c>
      <c r="E64" s="7"/>
      <c r="F64" s="7" t="s">
        <v>318</v>
      </c>
      <c r="G64" s="7" t="str">
        <f t="shared" si="3"/>
        <v>text</v>
      </c>
      <c r="H64" s="26"/>
      <c r="I64" s="10"/>
      <c r="J64" s="11" t="s">
        <v>830</v>
      </c>
      <c r="L64" s="4"/>
      <c r="M64" s="4"/>
      <c r="N64" s="78"/>
      <c r="O64" s="78"/>
      <c r="P64" s="78" t="str">
        <f t="shared" si="8"/>
        <v>,a003010_birth_weight</v>
      </c>
      <c r="Q64" s="78" t="str">
        <f t="shared" si="9"/>
        <v>TEXT</v>
      </c>
      <c r="R64" s="78" t="str">
        <f t="shared" si="10"/>
        <v/>
      </c>
      <c r="S64" s="78" t="str">
        <f t="shared" si="11"/>
        <v/>
      </c>
      <c r="T64" s="78" t="str">
        <f t="shared" si="12"/>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milscm_2023_010.azn_202310_backup_merge_dpc_ff1.a003010_birth_weight IS '出生時体重';</v>
      </c>
      <c r="AT64" s="4"/>
      <c r="AU64" s="4"/>
      <c r="AV64" s="4"/>
      <c r="AW64" s="4"/>
      <c r="AX64" s="4"/>
      <c r="AY64" s="4"/>
      <c r="AZ64" s="4"/>
    </row>
    <row r="65" spans="1:52" s="25" customFormat="1">
      <c r="A65" s="4"/>
      <c r="B65" s="21">
        <f t="shared" si="2"/>
        <v>53</v>
      </c>
      <c r="C65" s="13" t="s">
        <v>646</v>
      </c>
      <c r="D65" s="13" t="s">
        <v>647</v>
      </c>
      <c r="E65" s="7"/>
      <c r="F65" s="7" t="s">
        <v>318</v>
      </c>
      <c r="G65" s="7" t="str">
        <f t="shared" si="3"/>
        <v>text</v>
      </c>
      <c r="H65" s="58"/>
      <c r="I65" s="23"/>
      <c r="J65" s="24" t="s">
        <v>829</v>
      </c>
      <c r="L65" s="4"/>
      <c r="M65" s="4"/>
      <c r="N65" s="78"/>
      <c r="O65" s="78"/>
      <c r="P65" s="78" t="str">
        <f t="shared" si="8"/>
        <v>,a003010_birth_ninshin</v>
      </c>
      <c r="Q65" s="78" t="str">
        <f t="shared" si="9"/>
        <v>TEXT</v>
      </c>
      <c r="R65" s="78" t="str">
        <f t="shared" si="10"/>
        <v/>
      </c>
      <c r="S65" s="78" t="str">
        <f t="shared" si="11"/>
        <v/>
      </c>
      <c r="T65" s="78" t="str">
        <f t="shared" si="12"/>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milscm_2023_010.azn_202310_backup_merge_dpc_ff1.a003010_birth_ninshin IS '出生時妊娠週数';</v>
      </c>
      <c r="AT65" s="4"/>
      <c r="AU65" s="4"/>
      <c r="AV65" s="4"/>
      <c r="AW65" s="4"/>
      <c r="AX65" s="4"/>
      <c r="AY65" s="4"/>
      <c r="AZ65" s="4"/>
    </row>
    <row r="66" spans="1:52" s="25" customFormat="1" ht="31.5">
      <c r="A66" s="4"/>
      <c r="B66" s="21">
        <f t="shared" si="2"/>
        <v>54</v>
      </c>
      <c r="C66" s="13" t="s">
        <v>648</v>
      </c>
      <c r="D66" s="13" t="s">
        <v>649</v>
      </c>
      <c r="E66" s="7"/>
      <c r="F66" s="7" t="s">
        <v>318</v>
      </c>
      <c r="G66" s="7" t="str">
        <f t="shared" si="3"/>
        <v>text</v>
      </c>
      <c r="H66" s="26"/>
      <c r="I66" s="10"/>
      <c r="J66" s="11" t="s">
        <v>831</v>
      </c>
      <c r="L66" s="4"/>
      <c r="M66" s="4"/>
      <c r="N66" s="78"/>
      <c r="O66" s="78"/>
      <c r="P66" s="78" t="str">
        <f t="shared" si="8"/>
        <v>,a004010_aged_jiritsu_kijun</v>
      </c>
      <c r="Q66" s="78" t="str">
        <f t="shared" si="9"/>
        <v>TEXT</v>
      </c>
      <c r="R66" s="78" t="str">
        <f t="shared" si="10"/>
        <v/>
      </c>
      <c r="S66" s="78" t="str">
        <f t="shared" si="11"/>
        <v/>
      </c>
      <c r="T66" s="78" t="str">
        <f t="shared" si="12"/>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650</v>
      </c>
      <c r="D67" s="6" t="s">
        <v>651</v>
      </c>
      <c r="E67" s="8"/>
      <c r="F67" s="7" t="s">
        <v>318</v>
      </c>
      <c r="G67" s="7" t="str">
        <f t="shared" si="3"/>
        <v>text</v>
      </c>
      <c r="H67" s="58"/>
      <c r="I67" s="23"/>
      <c r="J67" s="24" t="s">
        <v>832</v>
      </c>
      <c r="L67" s="4"/>
      <c r="M67" s="4"/>
      <c r="N67" s="78"/>
      <c r="O67" s="78"/>
      <c r="P67" s="78" t="str">
        <f t="shared" si="8"/>
        <v>,a004020_care</v>
      </c>
      <c r="Q67" s="78" t="str">
        <f t="shared" si="9"/>
        <v>TEXT</v>
      </c>
      <c r="R67" s="78" t="str">
        <f t="shared" si="10"/>
        <v/>
      </c>
      <c r="S67" s="78" t="str">
        <f t="shared" si="11"/>
        <v/>
      </c>
      <c r="T67" s="78" t="str">
        <f t="shared" si="12"/>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milscm_2023_010.azn_202310_backup_merge_dpc_ff1.a004020_care IS '要介護度';</v>
      </c>
      <c r="AT67" s="4"/>
      <c r="AU67" s="4"/>
      <c r="AV67" s="4"/>
      <c r="AW67" s="4"/>
      <c r="AX67" s="4"/>
      <c r="AY67" s="4"/>
      <c r="AZ67" s="4"/>
    </row>
    <row r="68" spans="1:52" s="25" customFormat="1" ht="31.5">
      <c r="A68" s="4"/>
      <c r="B68" s="21">
        <f t="shared" si="2"/>
        <v>56</v>
      </c>
      <c r="C68" s="13" t="s">
        <v>247</v>
      </c>
      <c r="D68" s="13" t="s">
        <v>652</v>
      </c>
      <c r="E68" s="7"/>
      <c r="F68" s="7" t="s">
        <v>318</v>
      </c>
      <c r="G68" s="7" t="str">
        <f t="shared" si="3"/>
        <v>text</v>
      </c>
      <c r="H68" s="26"/>
      <c r="I68" s="10"/>
      <c r="J68" s="11" t="s">
        <v>144</v>
      </c>
      <c r="L68" s="4"/>
      <c r="M68" s="4"/>
      <c r="N68" s="78"/>
      <c r="O68" s="78"/>
      <c r="P68" s="78" t="str">
        <f t="shared" si="8"/>
        <v>,a004030_santei_start_ymd</v>
      </c>
      <c r="Q68" s="78" t="str">
        <f t="shared" si="9"/>
        <v>TEXT</v>
      </c>
      <c r="R68" s="78" t="str">
        <f t="shared" si="10"/>
        <v/>
      </c>
      <c r="S68" s="78" t="str">
        <f t="shared" si="11"/>
        <v/>
      </c>
      <c r="T68" s="78" t="str">
        <f t="shared" si="12"/>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milscm_2023_010.azn_202310_backup_merge_dpc_ff1.a004030_santei_start_ymd IS '算定開始日';</v>
      </c>
      <c r="AT68" s="4"/>
      <c r="AU68" s="4"/>
      <c r="AV68" s="4"/>
      <c r="AW68" s="4"/>
      <c r="AX68" s="4"/>
      <c r="AY68" s="4"/>
      <c r="AZ68" s="4"/>
    </row>
    <row r="69" spans="1:52" s="25" customFormat="1">
      <c r="A69" s="4"/>
      <c r="B69" s="21">
        <f t="shared" si="2"/>
        <v>57</v>
      </c>
      <c r="C69" s="6" t="s">
        <v>249</v>
      </c>
      <c r="D69" s="6" t="s">
        <v>653</v>
      </c>
      <c r="E69" s="8"/>
      <c r="F69" s="7" t="s">
        <v>318</v>
      </c>
      <c r="G69" s="7" t="str">
        <f t="shared" si="3"/>
        <v>text</v>
      </c>
      <c r="H69" s="58"/>
      <c r="I69" s="23"/>
      <c r="J69" s="24" t="s">
        <v>144</v>
      </c>
      <c r="L69" s="4"/>
      <c r="M69" s="4"/>
      <c r="N69" s="78"/>
      <c r="O69" s="78"/>
      <c r="P69" s="78" t="str">
        <f t="shared" si="8"/>
        <v>,a004030_santei_end_ymd</v>
      </c>
      <c r="Q69" s="78" t="str">
        <f t="shared" si="9"/>
        <v>TEXT</v>
      </c>
      <c r="R69" s="78" t="str">
        <f t="shared" si="10"/>
        <v/>
      </c>
      <c r="S69" s="78" t="str">
        <f t="shared" si="11"/>
        <v/>
      </c>
      <c r="T69" s="78" t="str">
        <f t="shared" si="12"/>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milscm_2023_010.azn_202310_backup_merge_dpc_ff1.a004030_santei_end_ymd IS '算定終了日';</v>
      </c>
      <c r="AT69" s="4"/>
      <c r="AU69" s="4"/>
      <c r="AV69" s="4"/>
      <c r="AW69" s="4"/>
      <c r="AX69" s="4"/>
      <c r="AY69" s="4"/>
      <c r="AZ69" s="4"/>
    </row>
    <row r="70" spans="1:52" s="25" customFormat="1" ht="31.5">
      <c r="A70" s="4"/>
      <c r="B70" s="21">
        <f t="shared" si="2"/>
        <v>58</v>
      </c>
      <c r="C70" s="13" t="s">
        <v>654</v>
      </c>
      <c r="D70" s="13" t="s">
        <v>655</v>
      </c>
      <c r="E70" s="7"/>
      <c r="F70" s="7" t="s">
        <v>318</v>
      </c>
      <c r="G70" s="7" t="str">
        <f t="shared" si="3"/>
        <v>text</v>
      </c>
      <c r="H70" s="58"/>
      <c r="I70" s="23"/>
      <c r="J70" s="24" t="s">
        <v>833</v>
      </c>
      <c r="L70" s="4"/>
      <c r="M70" s="4"/>
      <c r="N70" s="78"/>
      <c r="O70" s="78"/>
      <c r="P70" s="78" t="str">
        <f t="shared" si="8"/>
        <v>,a004030_teieiyo_start_flag</v>
      </c>
      <c r="Q70" s="78" t="str">
        <f t="shared" si="9"/>
        <v>TEXT</v>
      </c>
      <c r="R70" s="78" t="str">
        <f t="shared" si="10"/>
        <v/>
      </c>
      <c r="S70" s="78" t="str">
        <f t="shared" si="11"/>
        <v/>
      </c>
      <c r="T70" s="78" t="str">
        <f t="shared" si="12"/>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milscm_2023_010.azn_202310_backup_merge_dpc_ff1.a004030_teieiyo_start_flag IS '低栄養の有無（算定開始時）';</v>
      </c>
      <c r="AT70" s="4"/>
      <c r="AU70" s="4"/>
      <c r="AV70" s="4"/>
      <c r="AW70" s="4"/>
      <c r="AX70" s="4"/>
      <c r="AY70" s="4"/>
      <c r="AZ70" s="4"/>
    </row>
    <row r="71" spans="1:52" s="25" customFormat="1" ht="31.5">
      <c r="A71" s="4"/>
      <c r="B71" s="21">
        <f t="shared" si="2"/>
        <v>59</v>
      </c>
      <c r="C71" s="6" t="s">
        <v>656</v>
      </c>
      <c r="D71" s="6" t="s">
        <v>657</v>
      </c>
      <c r="E71" s="8"/>
      <c r="F71" s="7" t="s">
        <v>318</v>
      </c>
      <c r="G71" s="7" t="str">
        <f t="shared" si="3"/>
        <v>text</v>
      </c>
      <c r="H71" s="26"/>
      <c r="I71" s="10"/>
      <c r="J71" s="11" t="s">
        <v>833</v>
      </c>
      <c r="L71" s="4"/>
      <c r="M71" s="4"/>
      <c r="N71" s="78"/>
      <c r="O71" s="78"/>
      <c r="P71" s="78" t="str">
        <f t="shared" si="8"/>
        <v>,a004030_sesshoku_shogai_start_flag</v>
      </c>
      <c r="Q71" s="78" t="str">
        <f t="shared" si="9"/>
        <v>TEXT</v>
      </c>
      <c r="R71" s="78" t="str">
        <f t="shared" si="10"/>
        <v/>
      </c>
      <c r="S71" s="78" t="str">
        <f t="shared" si="11"/>
        <v/>
      </c>
      <c r="T71" s="78" t="str">
        <f t="shared" si="12"/>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milscm_2023_010.azn_202310_backup_merge_dpc_ff1.a004030_sesshoku_shogai_start_flag IS '摂食・嚥下機能障害の有無（算定開始時）';</v>
      </c>
      <c r="AT71" s="4"/>
      <c r="AU71" s="4"/>
      <c r="AV71" s="4"/>
      <c r="AW71" s="4"/>
      <c r="AX71" s="4"/>
      <c r="AY71" s="4"/>
      <c r="AZ71" s="4"/>
    </row>
    <row r="72" spans="1:52" s="25" customFormat="1">
      <c r="A72" s="4"/>
      <c r="B72" s="21">
        <f t="shared" si="2"/>
        <v>60</v>
      </c>
      <c r="C72" s="6" t="s">
        <v>658</v>
      </c>
      <c r="D72" s="6" t="s">
        <v>659</v>
      </c>
      <c r="E72" s="8"/>
      <c r="F72" s="7" t="s">
        <v>318</v>
      </c>
      <c r="G72" s="7" t="str">
        <f t="shared" si="3"/>
        <v>text</v>
      </c>
      <c r="H72" s="26"/>
      <c r="I72" s="10"/>
      <c r="J72" s="11" t="s">
        <v>833</v>
      </c>
      <c r="L72" s="4"/>
      <c r="M72" s="4"/>
      <c r="N72" s="78"/>
      <c r="O72" s="78"/>
      <c r="P72" s="78" t="str">
        <f t="shared" si="8"/>
        <v>,a004030_teieiyo_end_flag</v>
      </c>
      <c r="Q72" s="78" t="str">
        <f t="shared" si="9"/>
        <v>TEXT</v>
      </c>
      <c r="R72" s="78" t="str">
        <f t="shared" si="10"/>
        <v/>
      </c>
      <c r="S72" s="78" t="str">
        <f t="shared" si="11"/>
        <v/>
      </c>
      <c r="T72" s="78" t="str">
        <f t="shared" si="12"/>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milscm_2023_010.azn_202310_backup_merge_dpc_ff1.a004030_teieiyo_end_flag IS '低栄養の有無（算定終了時）';</v>
      </c>
      <c r="AT72" s="4"/>
      <c r="AU72" s="4"/>
      <c r="AV72" s="4"/>
      <c r="AW72" s="4"/>
      <c r="AX72" s="4"/>
      <c r="AY72" s="4"/>
      <c r="AZ72" s="4"/>
    </row>
    <row r="73" spans="1:52" s="25" customFormat="1" ht="31.5">
      <c r="A73" s="4"/>
      <c r="B73" s="21">
        <f t="shared" si="2"/>
        <v>61</v>
      </c>
      <c r="C73" s="13" t="s">
        <v>660</v>
      </c>
      <c r="D73" s="13" t="s">
        <v>661</v>
      </c>
      <c r="E73" s="7"/>
      <c r="F73" s="7" t="s">
        <v>318</v>
      </c>
      <c r="G73" s="7" t="str">
        <f t="shared" si="3"/>
        <v>text</v>
      </c>
      <c r="H73" s="58"/>
      <c r="I73" s="23"/>
      <c r="J73" s="24" t="s">
        <v>833</v>
      </c>
      <c r="L73" s="4"/>
      <c r="M73" s="4"/>
      <c r="N73" s="78"/>
      <c r="O73" s="78"/>
      <c r="P73" s="78" t="str">
        <f t="shared" si="8"/>
        <v>,a004030_sesshoku_shogai_end_flag</v>
      </c>
      <c r="Q73" s="78" t="str">
        <f t="shared" si="9"/>
        <v>TEXT</v>
      </c>
      <c r="R73" s="78" t="str">
        <f t="shared" si="10"/>
        <v/>
      </c>
      <c r="S73" s="78" t="str">
        <f t="shared" si="11"/>
        <v/>
      </c>
      <c r="T73" s="78" t="str">
        <f t="shared" si="12"/>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662</v>
      </c>
      <c r="D74" s="6" t="s">
        <v>663</v>
      </c>
      <c r="E74" s="8"/>
      <c r="F74" s="7" t="s">
        <v>318</v>
      </c>
      <c r="G74" s="7" t="str">
        <f t="shared" si="3"/>
        <v>text</v>
      </c>
      <c r="H74" s="26"/>
      <c r="I74" s="10"/>
      <c r="J74" s="11" t="s">
        <v>834</v>
      </c>
      <c r="L74" s="4"/>
      <c r="M74" s="4"/>
      <c r="N74" s="78"/>
      <c r="O74" s="78"/>
      <c r="P74" s="78" t="str">
        <f t="shared" si="8"/>
        <v>,a004030_keikan_eiyou_start</v>
      </c>
      <c r="Q74" s="78" t="str">
        <f t="shared" si="9"/>
        <v>TEXT</v>
      </c>
      <c r="R74" s="78" t="str">
        <f t="shared" si="10"/>
        <v/>
      </c>
      <c r="S74" s="78" t="str">
        <f t="shared" si="11"/>
        <v/>
      </c>
      <c r="T74" s="78" t="str">
        <f t="shared" si="12"/>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664</v>
      </c>
      <c r="D75" s="13" t="s">
        <v>665</v>
      </c>
      <c r="E75" s="7"/>
      <c r="F75" s="7" t="s">
        <v>318</v>
      </c>
      <c r="G75" s="7" t="str">
        <f t="shared" si="3"/>
        <v>text</v>
      </c>
      <c r="H75" s="58"/>
      <c r="I75" s="23"/>
      <c r="J75" s="24" t="s">
        <v>834</v>
      </c>
      <c r="L75" s="4"/>
      <c r="M75" s="4"/>
      <c r="N75" s="78"/>
      <c r="O75" s="78"/>
      <c r="P75" s="78" t="str">
        <f t="shared" si="8"/>
        <v>,a004030_keikan_eiyou_end</v>
      </c>
      <c r="Q75" s="78" t="str">
        <f t="shared" si="9"/>
        <v>TEXT</v>
      </c>
      <c r="R75" s="78" t="str">
        <f t="shared" si="10"/>
        <v/>
      </c>
      <c r="S75" s="78" t="str">
        <f t="shared" si="11"/>
        <v/>
      </c>
      <c r="T75" s="78" t="str">
        <f t="shared" si="12"/>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666</v>
      </c>
      <c r="D76" s="6" t="s">
        <v>667</v>
      </c>
      <c r="E76" s="8"/>
      <c r="F76" s="7" t="s">
        <v>318</v>
      </c>
      <c r="G76" s="7" t="str">
        <f t="shared" si="3"/>
        <v>text</v>
      </c>
      <c r="H76" s="26"/>
      <c r="I76" s="10"/>
      <c r="J76" s="11" t="s">
        <v>835</v>
      </c>
      <c r="L76" s="4"/>
      <c r="M76" s="4"/>
      <c r="N76" s="78"/>
      <c r="O76" s="78"/>
      <c r="P76" s="78" t="str">
        <f t="shared" si="8"/>
        <v>,a006010_icd10_code</v>
      </c>
      <c r="Q76" s="78" t="str">
        <f t="shared" si="9"/>
        <v>TEXT</v>
      </c>
      <c r="R76" s="78" t="str">
        <f t="shared" si="10"/>
        <v/>
      </c>
      <c r="S76" s="78" t="str">
        <f t="shared" si="11"/>
        <v/>
      </c>
      <c r="T76" s="78" t="str">
        <f t="shared" si="12"/>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milscm_2023_010.azn_202310_backup_merge_dpc_ff1.a006010_icd10_code IS 'ICD10コード';</v>
      </c>
      <c r="AT76" s="4"/>
      <c r="AU76" s="4"/>
      <c r="AV76" s="4"/>
      <c r="AW76" s="4"/>
      <c r="AX76" s="4"/>
      <c r="AY76" s="4"/>
      <c r="AZ76" s="4"/>
    </row>
    <row r="77" spans="1:52" s="25" customFormat="1">
      <c r="A77" s="4"/>
      <c r="B77" s="21">
        <f t="shared" si="2"/>
        <v>65</v>
      </c>
      <c r="C77" s="13" t="s">
        <v>668</v>
      </c>
      <c r="D77" s="13" t="s">
        <v>669</v>
      </c>
      <c r="E77" s="7"/>
      <c r="F77" s="7" t="s">
        <v>318</v>
      </c>
      <c r="G77" s="7" t="str">
        <f t="shared" si="3"/>
        <v>text</v>
      </c>
      <c r="H77" s="58"/>
      <c r="I77" s="23"/>
      <c r="J77" s="24"/>
      <c r="L77" s="4"/>
      <c r="M77" s="4"/>
      <c r="N77" s="78"/>
      <c r="O77" s="78"/>
      <c r="P77" s="78" t="str">
        <f t="shared" si="8"/>
        <v>,a006010_shobyo_code</v>
      </c>
      <c r="Q77" s="78" t="str">
        <f t="shared" si="9"/>
        <v>TEXT</v>
      </c>
      <c r="R77" s="78" t="str">
        <f t="shared" si="10"/>
        <v/>
      </c>
      <c r="S77" s="78" t="str">
        <f t="shared" si="11"/>
        <v/>
      </c>
      <c r="T77" s="78" t="str">
        <f t="shared" si="12"/>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milscm_2023_010.azn_202310_backup_merge_dpc_ff1.a006010_shobyo_code IS '傷病名コード';</v>
      </c>
      <c r="AT77" s="4"/>
      <c r="AU77" s="4"/>
      <c r="AV77" s="4"/>
      <c r="AW77" s="4"/>
      <c r="AX77" s="4"/>
      <c r="AY77" s="4"/>
      <c r="AZ77" s="4"/>
    </row>
    <row r="78" spans="1:52" s="25" customFormat="1">
      <c r="A78" s="4"/>
      <c r="B78" s="21">
        <f t="shared" si="2"/>
        <v>66</v>
      </c>
      <c r="C78" s="6" t="s">
        <v>670</v>
      </c>
      <c r="D78" s="6" t="s">
        <v>671</v>
      </c>
      <c r="E78" s="8"/>
      <c r="F78" s="7" t="s">
        <v>318</v>
      </c>
      <c r="G78" s="7" t="str">
        <f t="shared" si="3"/>
        <v>text</v>
      </c>
      <c r="H78" s="26"/>
      <c r="I78" s="10"/>
      <c r="J78" s="11"/>
      <c r="L78" s="4"/>
      <c r="M78" s="4"/>
      <c r="N78" s="78"/>
      <c r="O78" s="78"/>
      <c r="P78" s="78" t="str">
        <f t="shared" si="8"/>
        <v>,a006010_shushoku_code1</v>
      </c>
      <c r="Q78" s="78" t="str">
        <f t="shared" si="9"/>
        <v>TEXT</v>
      </c>
      <c r="R78" s="78" t="str">
        <f t="shared" si="10"/>
        <v/>
      </c>
      <c r="S78" s="78" t="str">
        <f t="shared" si="11"/>
        <v/>
      </c>
      <c r="T78" s="78" t="str">
        <f t="shared" si="12"/>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milscm_2023_010.azn_202310_backup_merge_dpc_ff1.a006010_shushoku_code1 IS '修飾語コード1';</v>
      </c>
      <c r="AT78" s="4"/>
      <c r="AU78" s="4"/>
      <c r="AV78" s="4"/>
      <c r="AW78" s="4"/>
      <c r="AX78" s="4"/>
      <c r="AY78" s="4"/>
      <c r="AZ78" s="4"/>
    </row>
    <row r="79" spans="1:52" s="25" customFormat="1">
      <c r="A79" s="4"/>
      <c r="B79" s="21">
        <f t="shared" si="2"/>
        <v>67</v>
      </c>
      <c r="C79" s="13" t="s">
        <v>672</v>
      </c>
      <c r="D79" s="13" t="s">
        <v>673</v>
      </c>
      <c r="E79" s="7"/>
      <c r="F79" s="7" t="s">
        <v>318</v>
      </c>
      <c r="G79" s="7" t="str">
        <f t="shared" si="3"/>
        <v>text</v>
      </c>
      <c r="H79" s="58"/>
      <c r="I79" s="23"/>
      <c r="J79" s="24"/>
      <c r="L79" s="4"/>
      <c r="M79" s="4"/>
      <c r="N79" s="78"/>
      <c r="O79" s="78"/>
      <c r="P79" s="78" t="str">
        <f t="shared" si="8"/>
        <v>,a006010_shushoku_code2</v>
      </c>
      <c r="Q79" s="78" t="str">
        <f t="shared" si="9"/>
        <v>TEXT</v>
      </c>
      <c r="R79" s="78" t="str">
        <f t="shared" si="10"/>
        <v/>
      </c>
      <c r="S79" s="78" t="str">
        <f t="shared" si="11"/>
        <v/>
      </c>
      <c r="T79" s="78" t="str">
        <f t="shared" si="12"/>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milscm_2023_010.azn_202310_backup_merge_dpc_ff1.a006010_shushoku_code2 IS '修飾語コード2';</v>
      </c>
      <c r="AT79" s="4"/>
      <c r="AU79" s="4"/>
      <c r="AV79" s="4"/>
      <c r="AW79" s="4"/>
      <c r="AX79" s="4"/>
      <c r="AY79" s="4"/>
      <c r="AZ79" s="4"/>
    </row>
    <row r="80" spans="1:52" s="25" customFormat="1">
      <c r="A80" s="4"/>
      <c r="B80" s="21">
        <f t="shared" si="2"/>
        <v>68</v>
      </c>
      <c r="C80" s="6" t="s">
        <v>674</v>
      </c>
      <c r="D80" s="6" t="s">
        <v>675</v>
      </c>
      <c r="E80" s="8"/>
      <c r="F80" s="7" t="s">
        <v>318</v>
      </c>
      <c r="G80" s="7" t="str">
        <f t="shared" si="3"/>
        <v>text</v>
      </c>
      <c r="H80" s="26"/>
      <c r="I80" s="10"/>
      <c r="J80" s="11"/>
      <c r="L80" s="4"/>
      <c r="M80" s="4"/>
      <c r="N80" s="78"/>
      <c r="O80" s="78"/>
      <c r="P80" s="78" t="str">
        <f t="shared" si="8"/>
        <v>,a006010_shushoku_code3</v>
      </c>
      <c r="Q80" s="78" t="str">
        <f t="shared" si="9"/>
        <v>TEXT</v>
      </c>
      <c r="R80" s="78" t="str">
        <f t="shared" si="10"/>
        <v/>
      </c>
      <c r="S80" s="78" t="str">
        <f t="shared" si="11"/>
        <v/>
      </c>
      <c r="T80" s="78" t="str">
        <f t="shared" si="12"/>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milscm_2023_010.azn_202310_backup_merge_dpc_ff1.a006010_shushoku_code3 IS '修飾語コード3';</v>
      </c>
      <c r="AT80" s="4"/>
      <c r="AU80" s="4"/>
      <c r="AV80" s="4"/>
      <c r="AW80" s="4"/>
      <c r="AX80" s="4"/>
      <c r="AY80" s="4"/>
      <c r="AZ80" s="4"/>
    </row>
    <row r="81" spans="1:52" s="25" customFormat="1">
      <c r="A81" s="4"/>
      <c r="B81" s="21">
        <f t="shared" si="2"/>
        <v>69</v>
      </c>
      <c r="C81" s="13" t="s">
        <v>676</v>
      </c>
      <c r="D81" s="13" t="s">
        <v>677</v>
      </c>
      <c r="E81" s="7"/>
      <c r="F81" s="7" t="s">
        <v>318</v>
      </c>
      <c r="G81" s="7" t="str">
        <f t="shared" si="3"/>
        <v>text</v>
      </c>
      <c r="H81" s="58"/>
      <c r="I81" s="23"/>
      <c r="J81" s="24"/>
      <c r="L81" s="4"/>
      <c r="M81" s="4"/>
      <c r="N81" s="78"/>
      <c r="O81" s="78"/>
      <c r="P81" s="78" t="str">
        <f t="shared" si="8"/>
        <v>,a006010_shushoku_code4</v>
      </c>
      <c r="Q81" s="78" t="str">
        <f t="shared" si="9"/>
        <v>TEXT</v>
      </c>
      <c r="R81" s="78" t="str">
        <f t="shared" si="10"/>
        <v/>
      </c>
      <c r="S81" s="78" t="str">
        <f t="shared" si="11"/>
        <v/>
      </c>
      <c r="T81" s="78" t="str">
        <f t="shared" si="12"/>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milscm_2023_010.azn_202310_backup_merge_dpc_ff1.a006010_shushoku_code4 IS '修飾語コード4';</v>
      </c>
      <c r="AT81" s="4"/>
      <c r="AU81" s="4"/>
      <c r="AV81" s="4"/>
      <c r="AW81" s="4"/>
      <c r="AX81" s="4"/>
      <c r="AY81" s="4"/>
      <c r="AZ81" s="4"/>
    </row>
    <row r="82" spans="1:52" s="25" customFormat="1" ht="31.5">
      <c r="A82" s="4"/>
      <c r="B82" s="21">
        <f t="shared" si="2"/>
        <v>70</v>
      </c>
      <c r="C82" s="13" t="s">
        <v>678</v>
      </c>
      <c r="D82" s="13" t="s">
        <v>679</v>
      </c>
      <c r="E82" s="7"/>
      <c r="F82" s="7" t="s">
        <v>318</v>
      </c>
      <c r="G82" s="7" t="str">
        <f t="shared" si="3"/>
        <v>text</v>
      </c>
      <c r="H82" s="58"/>
      <c r="I82" s="23"/>
      <c r="J82" s="24" t="s">
        <v>836</v>
      </c>
      <c r="L82" s="4"/>
      <c r="M82" s="4"/>
      <c r="N82" s="78"/>
      <c r="O82" s="78"/>
      <c r="P82" s="78" t="str">
        <f t="shared" si="8"/>
        <v>,a006010_main_shobyo_name</v>
      </c>
      <c r="Q82" s="78" t="str">
        <f t="shared" si="9"/>
        <v>TEXT</v>
      </c>
      <c r="R82" s="78" t="str">
        <f t="shared" si="10"/>
        <v/>
      </c>
      <c r="S82" s="78" t="str">
        <f t="shared" si="11"/>
        <v/>
      </c>
      <c r="T82" s="78" t="str">
        <f t="shared" si="12"/>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milscm_2023_010.azn_202310_backup_merge_dpc_ff1.a006010_main_shobyo_name IS '主傷病名';</v>
      </c>
      <c r="AT82" s="4"/>
      <c r="AU82" s="4"/>
      <c r="AV82" s="4"/>
      <c r="AW82" s="4"/>
      <c r="AX82" s="4"/>
      <c r="AY82" s="4"/>
      <c r="AZ82" s="4"/>
    </row>
    <row r="83" spans="1:52" s="25" customFormat="1">
      <c r="A83" s="4"/>
      <c r="B83" s="21">
        <f t="shared" si="2"/>
        <v>71</v>
      </c>
      <c r="C83" s="13" t="s">
        <v>666</v>
      </c>
      <c r="D83" s="13" t="s">
        <v>680</v>
      </c>
      <c r="E83" s="7"/>
      <c r="F83" s="7" t="s">
        <v>318</v>
      </c>
      <c r="G83" s="7" t="str">
        <f t="shared" si="3"/>
        <v>text</v>
      </c>
      <c r="H83" s="26"/>
      <c r="I83" s="10"/>
      <c r="J83" s="11" t="s">
        <v>837</v>
      </c>
      <c r="L83" s="4"/>
      <c r="M83" s="4"/>
      <c r="N83" s="78"/>
      <c r="O83" s="78"/>
      <c r="P83" s="78" t="str">
        <f t="shared" si="8"/>
        <v>,a006020_icd10_code</v>
      </c>
      <c r="Q83" s="78" t="str">
        <f t="shared" si="9"/>
        <v>TEXT</v>
      </c>
      <c r="R83" s="78" t="str">
        <f t="shared" si="10"/>
        <v/>
      </c>
      <c r="S83" s="78" t="str">
        <f t="shared" si="11"/>
        <v/>
      </c>
      <c r="T83" s="78" t="str">
        <f t="shared" si="12"/>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milscm_2023_010.azn_202310_backup_merge_dpc_ff1.a006020_icd10_code IS 'ICD10コード';</v>
      </c>
      <c r="AT83" s="4"/>
      <c r="AU83" s="4"/>
      <c r="AV83" s="4"/>
      <c r="AW83" s="4"/>
      <c r="AX83" s="4"/>
      <c r="AY83" s="4"/>
      <c r="AZ83" s="4"/>
    </row>
    <row r="84" spans="1:52" s="25" customFormat="1">
      <c r="A84" s="4"/>
      <c r="B84" s="21">
        <f t="shared" si="2"/>
        <v>72</v>
      </c>
      <c r="C84" s="6" t="s">
        <v>668</v>
      </c>
      <c r="D84" s="6" t="s">
        <v>681</v>
      </c>
      <c r="E84" s="8"/>
      <c r="F84" s="7" t="s">
        <v>318</v>
      </c>
      <c r="G84" s="7" t="str">
        <f t="shared" si="3"/>
        <v>text</v>
      </c>
      <c r="H84" s="26"/>
      <c r="I84" s="10"/>
      <c r="J84" s="11"/>
      <c r="L84" s="4"/>
      <c r="M84" s="4"/>
      <c r="N84" s="78"/>
      <c r="O84" s="78"/>
      <c r="P84" s="78" t="str">
        <f t="shared" si="8"/>
        <v>,a006020_shobyo_code</v>
      </c>
      <c r="Q84" s="78" t="str">
        <f t="shared" si="9"/>
        <v>TEXT</v>
      </c>
      <c r="R84" s="78" t="str">
        <f t="shared" si="10"/>
        <v/>
      </c>
      <c r="S84" s="78" t="str">
        <f t="shared" si="11"/>
        <v/>
      </c>
      <c r="T84" s="78" t="str">
        <f t="shared" si="12"/>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milscm_2023_010.azn_202310_backup_merge_dpc_ff1.a006020_shobyo_code IS '傷病名コード';</v>
      </c>
      <c r="AT84" s="4"/>
      <c r="AU84" s="4"/>
      <c r="AV84" s="4"/>
      <c r="AW84" s="4"/>
      <c r="AX84" s="4"/>
      <c r="AY84" s="4"/>
      <c r="AZ84" s="4"/>
    </row>
    <row r="85" spans="1:52" s="25" customFormat="1">
      <c r="A85" s="4"/>
      <c r="B85" s="21">
        <f t="shared" si="2"/>
        <v>73</v>
      </c>
      <c r="C85" s="13" t="s">
        <v>670</v>
      </c>
      <c r="D85" s="13" t="s">
        <v>682</v>
      </c>
      <c r="E85" s="7"/>
      <c r="F85" s="7" t="s">
        <v>318</v>
      </c>
      <c r="G85" s="7" t="str">
        <f t="shared" si="3"/>
        <v>text</v>
      </c>
      <c r="H85" s="58"/>
      <c r="I85" s="23"/>
      <c r="J85" s="24"/>
      <c r="L85" s="4"/>
      <c r="M85" s="4"/>
      <c r="N85" s="78"/>
      <c r="O85" s="78"/>
      <c r="P85" s="78" t="str">
        <f t="shared" si="8"/>
        <v>,a006020_shushoku_code1</v>
      </c>
      <c r="Q85" s="78" t="str">
        <f t="shared" si="9"/>
        <v>TEXT</v>
      </c>
      <c r="R85" s="78" t="str">
        <f t="shared" si="10"/>
        <v/>
      </c>
      <c r="S85" s="78" t="str">
        <f t="shared" si="11"/>
        <v/>
      </c>
      <c r="T85" s="78" t="str">
        <f t="shared" si="12"/>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milscm_2023_010.azn_202310_backup_merge_dpc_ff1.a006020_shushoku_code1 IS '修飾語コード1';</v>
      </c>
      <c r="AT85" s="4"/>
      <c r="AU85" s="4"/>
      <c r="AV85" s="4"/>
      <c r="AW85" s="4"/>
      <c r="AX85" s="4"/>
      <c r="AY85" s="4"/>
      <c r="AZ85" s="4"/>
    </row>
    <row r="86" spans="1:52" s="25" customFormat="1">
      <c r="A86" s="4"/>
      <c r="B86" s="21">
        <f t="shared" si="2"/>
        <v>74</v>
      </c>
      <c r="C86" s="6" t="s">
        <v>672</v>
      </c>
      <c r="D86" s="6" t="s">
        <v>683</v>
      </c>
      <c r="E86" s="8"/>
      <c r="F86" s="7" t="s">
        <v>318</v>
      </c>
      <c r="G86" s="7" t="str">
        <f t="shared" si="3"/>
        <v>text</v>
      </c>
      <c r="H86" s="26"/>
      <c r="I86" s="10"/>
      <c r="J86" s="11"/>
      <c r="L86" s="4"/>
      <c r="M86" s="4"/>
      <c r="N86" s="78"/>
      <c r="O86" s="78"/>
      <c r="P86" s="78" t="str">
        <f t="shared" si="8"/>
        <v>,a006020_shushoku_code2</v>
      </c>
      <c r="Q86" s="78" t="str">
        <f t="shared" si="9"/>
        <v>TEXT</v>
      </c>
      <c r="R86" s="78" t="str">
        <f t="shared" si="10"/>
        <v/>
      </c>
      <c r="S86" s="78" t="str">
        <f t="shared" si="11"/>
        <v/>
      </c>
      <c r="T86" s="78" t="str">
        <f t="shared" si="12"/>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milscm_2023_010.azn_202310_backup_merge_dpc_ff1.a006020_shushoku_code2 IS '修飾語コード2';</v>
      </c>
      <c r="AT86" s="4"/>
      <c r="AU86" s="4"/>
      <c r="AV86" s="4"/>
      <c r="AW86" s="4"/>
      <c r="AX86" s="4"/>
      <c r="AY86" s="4"/>
      <c r="AZ86" s="4"/>
    </row>
    <row r="87" spans="1:52" s="25" customFormat="1">
      <c r="A87" s="4"/>
      <c r="B87" s="21">
        <f t="shared" si="2"/>
        <v>75</v>
      </c>
      <c r="C87" s="13" t="s">
        <v>674</v>
      </c>
      <c r="D87" s="13" t="s">
        <v>684</v>
      </c>
      <c r="E87" s="7"/>
      <c r="F87" s="7" t="s">
        <v>318</v>
      </c>
      <c r="G87" s="7" t="str">
        <f t="shared" si="3"/>
        <v>text</v>
      </c>
      <c r="H87" s="58"/>
      <c r="I87" s="23"/>
      <c r="J87" s="24"/>
      <c r="L87" s="4"/>
      <c r="M87" s="4"/>
      <c r="N87" s="78"/>
      <c r="O87" s="78"/>
      <c r="P87" s="78" t="str">
        <f t="shared" si="8"/>
        <v>,a006020_shushoku_code3</v>
      </c>
      <c r="Q87" s="78" t="str">
        <f t="shared" si="9"/>
        <v>TEXT</v>
      </c>
      <c r="R87" s="78" t="str">
        <f t="shared" si="10"/>
        <v/>
      </c>
      <c r="S87" s="78" t="str">
        <f t="shared" si="11"/>
        <v/>
      </c>
      <c r="T87" s="78" t="str">
        <f t="shared" si="12"/>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milscm_2023_010.azn_202310_backup_merge_dpc_ff1.a006020_shushoku_code3 IS '修飾語コード3';</v>
      </c>
      <c r="AT87" s="4"/>
      <c r="AU87" s="4"/>
      <c r="AV87" s="4"/>
      <c r="AW87" s="4"/>
      <c r="AX87" s="4"/>
      <c r="AY87" s="4"/>
      <c r="AZ87" s="4"/>
    </row>
    <row r="88" spans="1:52" s="25" customFormat="1">
      <c r="A88" s="4"/>
      <c r="B88" s="21">
        <f t="shared" si="2"/>
        <v>76</v>
      </c>
      <c r="C88" s="6" t="s">
        <v>676</v>
      </c>
      <c r="D88" s="6" t="s">
        <v>685</v>
      </c>
      <c r="E88" s="8"/>
      <c r="F88" s="7" t="s">
        <v>318</v>
      </c>
      <c r="G88" s="7" t="str">
        <f t="shared" si="3"/>
        <v>text</v>
      </c>
      <c r="H88" s="26"/>
      <c r="I88" s="10"/>
      <c r="J88" s="11"/>
      <c r="L88" s="4"/>
      <c r="M88" s="4"/>
      <c r="N88" s="78"/>
      <c r="O88" s="78"/>
      <c r="P88" s="78" t="str">
        <f t="shared" si="8"/>
        <v>,a006020_shushoku_code4</v>
      </c>
      <c r="Q88" s="78" t="str">
        <f t="shared" si="9"/>
        <v>TEXT</v>
      </c>
      <c r="R88" s="78" t="str">
        <f t="shared" si="10"/>
        <v/>
      </c>
      <c r="S88" s="78" t="str">
        <f t="shared" si="11"/>
        <v/>
      </c>
      <c r="T88" s="78" t="str">
        <f t="shared" si="12"/>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milscm_2023_010.azn_202310_backup_merge_dpc_ff1.a006020_shushoku_code4 IS '修飾語コード4';</v>
      </c>
      <c r="AT88" s="4"/>
      <c r="AU88" s="4"/>
      <c r="AV88" s="4"/>
      <c r="AW88" s="4"/>
      <c r="AX88" s="4"/>
      <c r="AY88" s="4"/>
      <c r="AZ88" s="4"/>
    </row>
    <row r="89" spans="1:52" s="25" customFormat="1" ht="31.5">
      <c r="A89" s="4"/>
      <c r="B89" s="21">
        <f t="shared" si="2"/>
        <v>77</v>
      </c>
      <c r="C89" s="6" t="s">
        <v>686</v>
      </c>
      <c r="D89" s="6" t="s">
        <v>687</v>
      </c>
      <c r="E89" s="8"/>
      <c r="F89" s="7" t="s">
        <v>318</v>
      </c>
      <c r="G89" s="7" t="str">
        <f t="shared" si="3"/>
        <v>text</v>
      </c>
      <c r="H89" s="58"/>
      <c r="I89" s="23"/>
      <c r="J89" s="24" t="s">
        <v>686</v>
      </c>
      <c r="L89" s="4"/>
      <c r="M89" s="4"/>
      <c r="N89" s="78"/>
      <c r="O89" s="78"/>
      <c r="P89" s="78" t="str">
        <f t="shared" si="8"/>
        <v>,a006020_nyuin_shobyo_name</v>
      </c>
      <c r="Q89" s="78" t="str">
        <f t="shared" si="9"/>
        <v>TEXT</v>
      </c>
      <c r="R89" s="78" t="str">
        <f t="shared" si="10"/>
        <v/>
      </c>
      <c r="S89" s="78" t="str">
        <f t="shared" si="11"/>
        <v/>
      </c>
      <c r="T89" s="78" t="str">
        <f t="shared" si="12"/>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milscm_2023_010.azn_202310_backup_merge_dpc_ff1.a006020_nyuin_shobyo_name IS '入院の契機となった傷病名';</v>
      </c>
      <c r="AT89" s="4"/>
      <c r="AU89" s="4"/>
      <c r="AV89" s="4"/>
      <c r="AW89" s="4"/>
      <c r="AX89" s="4"/>
      <c r="AY89" s="4"/>
      <c r="AZ89" s="4"/>
    </row>
    <row r="90" spans="1:52" s="25" customFormat="1" ht="37.5">
      <c r="A90" s="4"/>
      <c r="B90" s="21">
        <f t="shared" si="2"/>
        <v>78</v>
      </c>
      <c r="C90" s="13" t="s">
        <v>666</v>
      </c>
      <c r="D90" s="13" t="s">
        <v>688</v>
      </c>
      <c r="E90" s="7"/>
      <c r="F90" s="7" t="s">
        <v>318</v>
      </c>
      <c r="G90" s="7" t="str">
        <f t="shared" si="3"/>
        <v>text</v>
      </c>
      <c r="H90" s="26"/>
      <c r="I90" s="10"/>
      <c r="J90" s="11" t="s">
        <v>838</v>
      </c>
      <c r="L90" s="4"/>
      <c r="M90" s="4"/>
      <c r="N90" s="78"/>
      <c r="O90" s="78"/>
      <c r="P90" s="78" t="str">
        <f t="shared" si="8"/>
        <v>,a006030_icd10_code</v>
      </c>
      <c r="Q90" s="78" t="str">
        <f t="shared" si="9"/>
        <v>TEXT</v>
      </c>
      <c r="R90" s="78" t="str">
        <f t="shared" si="10"/>
        <v/>
      </c>
      <c r="S90" s="78" t="str">
        <f t="shared" si="11"/>
        <v/>
      </c>
      <c r="T90" s="78" t="str">
        <f t="shared" si="12"/>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milscm_2023_010.azn_202310_backup_merge_dpc_ff1.a006030_icd10_code IS 'ICD10コード';</v>
      </c>
      <c r="AT90" s="4"/>
      <c r="AU90" s="4"/>
      <c r="AV90" s="4"/>
      <c r="AW90" s="4"/>
      <c r="AX90" s="4"/>
      <c r="AY90" s="4"/>
      <c r="AZ90" s="4"/>
    </row>
    <row r="91" spans="1:52" s="25" customFormat="1" ht="31.5">
      <c r="A91" s="4"/>
      <c r="B91" s="21">
        <f t="shared" si="2"/>
        <v>79</v>
      </c>
      <c r="C91" s="6" t="s">
        <v>689</v>
      </c>
      <c r="D91" s="6" t="s">
        <v>690</v>
      </c>
      <c r="E91" s="8"/>
      <c r="F91" s="7" t="s">
        <v>318</v>
      </c>
      <c r="G91" s="7" t="str">
        <f t="shared" si="3"/>
        <v>text</v>
      </c>
      <c r="H91" s="58"/>
      <c r="I91" s="23"/>
      <c r="J91" s="24"/>
      <c r="L91" s="4"/>
      <c r="M91" s="4"/>
      <c r="N91" s="78"/>
      <c r="O91" s="78"/>
      <c r="P91" s="78" t="str">
        <f t="shared" si="8"/>
        <v>,a006030_byomei_fuka_code</v>
      </c>
      <c r="Q91" s="78" t="str">
        <f t="shared" si="9"/>
        <v>TEXT</v>
      </c>
      <c r="R91" s="78" t="str">
        <f t="shared" si="10"/>
        <v/>
      </c>
      <c r="S91" s="78" t="str">
        <f t="shared" si="11"/>
        <v/>
      </c>
      <c r="T91" s="78" t="str">
        <f t="shared" si="12"/>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milscm_2023_010.azn_202310_backup_merge_dpc_ff1.a006030_byomei_fuka_code IS '病名付加コード';</v>
      </c>
      <c r="AT91" s="4"/>
      <c r="AU91" s="4"/>
      <c r="AV91" s="4"/>
      <c r="AW91" s="4"/>
      <c r="AX91" s="4"/>
      <c r="AY91" s="4"/>
      <c r="AZ91" s="4"/>
    </row>
    <row r="92" spans="1:52" s="25" customFormat="1">
      <c r="A92" s="4"/>
      <c r="B92" s="21">
        <f t="shared" si="2"/>
        <v>80</v>
      </c>
      <c r="C92" s="13" t="s">
        <v>668</v>
      </c>
      <c r="D92" s="13" t="s">
        <v>691</v>
      </c>
      <c r="E92" s="7"/>
      <c r="F92" s="7" t="s">
        <v>318</v>
      </c>
      <c r="G92" s="7" t="str">
        <f t="shared" si="3"/>
        <v>text</v>
      </c>
      <c r="H92" s="26"/>
      <c r="I92" s="10"/>
      <c r="J92" s="11"/>
      <c r="L92" s="4"/>
      <c r="M92" s="4"/>
      <c r="N92" s="78"/>
      <c r="O92" s="78"/>
      <c r="P92" s="78" t="str">
        <f t="shared" si="8"/>
        <v>,a006030_shobyo_code</v>
      </c>
      <c r="Q92" s="78" t="str">
        <f t="shared" si="9"/>
        <v>TEXT</v>
      </c>
      <c r="R92" s="78" t="str">
        <f t="shared" si="10"/>
        <v/>
      </c>
      <c r="S92" s="78" t="str">
        <f t="shared" si="11"/>
        <v/>
      </c>
      <c r="T92" s="78" t="str">
        <f t="shared" si="12"/>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milscm_2023_010.azn_202310_backup_merge_dpc_ff1.a006030_shobyo_code IS '傷病名コード';</v>
      </c>
      <c r="AT92" s="4"/>
      <c r="AU92" s="4"/>
      <c r="AV92" s="4"/>
      <c r="AW92" s="4"/>
      <c r="AX92" s="4"/>
      <c r="AY92" s="4"/>
      <c r="AZ92" s="4"/>
    </row>
    <row r="93" spans="1:52" s="25" customFormat="1">
      <c r="A93" s="4"/>
      <c r="B93" s="21">
        <f t="shared" si="2"/>
        <v>81</v>
      </c>
      <c r="C93" s="6" t="s">
        <v>670</v>
      </c>
      <c r="D93" s="6" t="s">
        <v>692</v>
      </c>
      <c r="E93" s="8"/>
      <c r="F93" s="7" t="s">
        <v>318</v>
      </c>
      <c r="G93" s="7" t="str">
        <f t="shared" si="3"/>
        <v>text</v>
      </c>
      <c r="H93" s="58"/>
      <c r="I93" s="23"/>
      <c r="J93" s="24"/>
      <c r="L93" s="4"/>
      <c r="M93" s="4"/>
      <c r="N93" s="78"/>
      <c r="O93" s="78"/>
      <c r="P93" s="78" t="str">
        <f t="shared" si="8"/>
        <v>,a006030_shushoku_code1</v>
      </c>
      <c r="Q93" s="78" t="str">
        <f t="shared" si="9"/>
        <v>TEXT</v>
      </c>
      <c r="R93" s="78" t="str">
        <f t="shared" si="10"/>
        <v/>
      </c>
      <c r="S93" s="78" t="str">
        <f t="shared" si="11"/>
        <v/>
      </c>
      <c r="T93" s="78" t="str">
        <f t="shared" si="12"/>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milscm_2023_010.azn_202310_backup_merge_dpc_ff1.a006030_shushoku_code1 IS '修飾語コード1';</v>
      </c>
      <c r="AT93" s="4"/>
      <c r="AU93" s="4"/>
      <c r="AV93" s="4"/>
      <c r="AW93" s="4"/>
      <c r="AX93" s="4"/>
      <c r="AY93" s="4"/>
      <c r="AZ93" s="4"/>
    </row>
    <row r="94" spans="1:52" s="25" customFormat="1">
      <c r="A94" s="4"/>
      <c r="B94" s="21">
        <f t="shared" si="2"/>
        <v>82</v>
      </c>
      <c r="C94" s="13" t="s">
        <v>672</v>
      </c>
      <c r="D94" s="13" t="s">
        <v>693</v>
      </c>
      <c r="E94" s="7"/>
      <c r="F94" s="7" t="s">
        <v>318</v>
      </c>
      <c r="G94" s="7" t="str">
        <f t="shared" si="3"/>
        <v>text</v>
      </c>
      <c r="H94" s="58"/>
      <c r="I94" s="23"/>
      <c r="J94" s="24"/>
      <c r="L94" s="4"/>
      <c r="M94" s="4"/>
      <c r="N94" s="78"/>
      <c r="O94" s="78"/>
      <c r="P94" s="78" t="str">
        <f t="shared" si="8"/>
        <v>,a006030_shushoku_code2</v>
      </c>
      <c r="Q94" s="78" t="str">
        <f t="shared" si="9"/>
        <v>TEXT</v>
      </c>
      <c r="R94" s="78" t="str">
        <f t="shared" si="10"/>
        <v/>
      </c>
      <c r="S94" s="78" t="str">
        <f t="shared" si="11"/>
        <v/>
      </c>
      <c r="T94" s="78" t="str">
        <f t="shared" si="12"/>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milscm_2023_010.azn_202310_backup_merge_dpc_ff1.a006030_shushoku_code2 IS '修飾語コード2';</v>
      </c>
      <c r="AT94" s="4"/>
      <c r="AU94" s="4"/>
      <c r="AV94" s="4"/>
      <c r="AW94" s="4"/>
      <c r="AX94" s="4"/>
      <c r="AY94" s="4"/>
      <c r="AZ94" s="4"/>
    </row>
    <row r="95" spans="1:52" s="25" customFormat="1">
      <c r="A95" s="4"/>
      <c r="B95" s="21">
        <f t="shared" si="2"/>
        <v>83</v>
      </c>
      <c r="C95" s="6" t="s">
        <v>674</v>
      </c>
      <c r="D95" s="6" t="s">
        <v>694</v>
      </c>
      <c r="E95" s="8"/>
      <c r="F95" s="7" t="s">
        <v>318</v>
      </c>
      <c r="G95" s="7" t="str">
        <f t="shared" si="3"/>
        <v>text</v>
      </c>
      <c r="H95" s="26"/>
      <c r="I95" s="10"/>
      <c r="J95" s="11"/>
      <c r="L95" s="4"/>
      <c r="M95" s="4"/>
      <c r="N95" s="78"/>
      <c r="O95" s="78"/>
      <c r="P95" s="78" t="str">
        <f t="shared" si="8"/>
        <v>,a006030_shushoku_code3</v>
      </c>
      <c r="Q95" s="78" t="str">
        <f t="shared" si="9"/>
        <v>TEXT</v>
      </c>
      <c r="R95" s="78" t="str">
        <f t="shared" si="10"/>
        <v/>
      </c>
      <c r="S95" s="78" t="str">
        <f t="shared" si="11"/>
        <v/>
      </c>
      <c r="T95" s="78" t="str">
        <f t="shared" si="12"/>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milscm_2023_010.azn_202310_backup_merge_dpc_ff1.a006030_shushoku_code3 IS '修飾語コード3';</v>
      </c>
      <c r="AT95" s="4"/>
      <c r="AU95" s="4"/>
      <c r="AV95" s="4"/>
      <c r="AW95" s="4"/>
      <c r="AX95" s="4"/>
      <c r="AY95" s="4"/>
      <c r="AZ95" s="4"/>
    </row>
    <row r="96" spans="1:52" s="25" customFormat="1">
      <c r="A96" s="4"/>
      <c r="B96" s="21">
        <f t="shared" si="2"/>
        <v>84</v>
      </c>
      <c r="C96" s="13" t="s">
        <v>676</v>
      </c>
      <c r="D96" s="13" t="s">
        <v>695</v>
      </c>
      <c r="E96" s="7"/>
      <c r="F96" s="7" t="s">
        <v>318</v>
      </c>
      <c r="G96" s="7" t="str">
        <f t="shared" si="3"/>
        <v>text</v>
      </c>
      <c r="H96" s="26"/>
      <c r="I96" s="10"/>
      <c r="J96" s="11"/>
      <c r="L96" s="4"/>
      <c r="M96" s="4"/>
      <c r="N96" s="78"/>
      <c r="O96" s="78"/>
      <c r="P96" s="78" t="str">
        <f t="shared" si="8"/>
        <v>,a006030_shushoku_code4</v>
      </c>
      <c r="Q96" s="78" t="str">
        <f t="shared" si="9"/>
        <v>TEXT</v>
      </c>
      <c r="R96" s="78" t="str">
        <f t="shared" si="10"/>
        <v/>
      </c>
      <c r="S96" s="78" t="str">
        <f t="shared" si="11"/>
        <v/>
      </c>
      <c r="T96" s="78" t="str">
        <f t="shared" si="12"/>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milscm_2023_010.azn_202310_backup_merge_dpc_ff1.a006030_shushoku_code4 IS '修飾語コード4';</v>
      </c>
      <c r="AT96" s="4"/>
      <c r="AU96" s="4"/>
      <c r="AV96" s="4"/>
      <c r="AW96" s="4"/>
      <c r="AX96" s="4"/>
      <c r="AY96" s="4"/>
      <c r="AZ96" s="4"/>
    </row>
    <row r="97" spans="1:52" s="25" customFormat="1" ht="37.5">
      <c r="A97" s="4"/>
      <c r="B97" s="21">
        <f t="shared" si="2"/>
        <v>85</v>
      </c>
      <c r="C97" s="6" t="s">
        <v>696</v>
      </c>
      <c r="D97" s="6" t="s">
        <v>697</v>
      </c>
      <c r="E97" s="8"/>
      <c r="F97" s="7" t="s">
        <v>318</v>
      </c>
      <c r="G97" s="7" t="str">
        <f t="shared" si="3"/>
        <v>text</v>
      </c>
      <c r="H97" s="58"/>
      <c r="I97" s="23"/>
      <c r="J97" s="24" t="s">
        <v>839</v>
      </c>
      <c r="L97" s="4"/>
      <c r="M97" s="4"/>
      <c r="N97" s="78"/>
      <c r="O97" s="78"/>
      <c r="P97" s="78" t="str">
        <f t="shared" si="8"/>
        <v>,a006030_iryo1_shobyo_name</v>
      </c>
      <c r="Q97" s="78" t="str">
        <f t="shared" si="9"/>
        <v>TEXT</v>
      </c>
      <c r="R97" s="78" t="str">
        <f t="shared" si="10"/>
        <v/>
      </c>
      <c r="S97" s="78" t="str">
        <f t="shared" si="11"/>
        <v/>
      </c>
      <c r="T97" s="78" t="str">
        <f t="shared" si="12"/>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milscm_2023_010.azn_202310_backup_merge_dpc_ff1.a006030_iryo1_shobyo_name IS '医療資源を最も投入した傷病名';</v>
      </c>
      <c r="AT97" s="4"/>
      <c r="AU97" s="4"/>
      <c r="AV97" s="4"/>
      <c r="AW97" s="4"/>
      <c r="AX97" s="4"/>
      <c r="AY97" s="4"/>
      <c r="AZ97" s="4"/>
    </row>
    <row r="98" spans="1:52" s="25" customFormat="1" ht="37.5">
      <c r="A98" s="4"/>
      <c r="B98" s="21">
        <f t="shared" si="2"/>
        <v>86</v>
      </c>
      <c r="C98" s="13" t="s">
        <v>666</v>
      </c>
      <c r="D98" s="13" t="s">
        <v>698</v>
      </c>
      <c r="E98" s="7"/>
      <c r="F98" s="7" t="s">
        <v>318</v>
      </c>
      <c r="G98" s="7" t="str">
        <f t="shared" si="3"/>
        <v>text</v>
      </c>
      <c r="H98" s="26"/>
      <c r="I98" s="10"/>
      <c r="J98" s="11" t="s">
        <v>840</v>
      </c>
      <c r="L98" s="4"/>
      <c r="M98" s="4"/>
      <c r="N98" s="78"/>
      <c r="O98" s="78"/>
      <c r="P98" s="78" t="str">
        <f t="shared" si="8"/>
        <v>,a006031_icd10_code</v>
      </c>
      <c r="Q98" s="78" t="str">
        <f t="shared" si="9"/>
        <v>TEXT</v>
      </c>
      <c r="R98" s="78" t="str">
        <f t="shared" si="10"/>
        <v/>
      </c>
      <c r="S98" s="78" t="str">
        <f t="shared" si="11"/>
        <v/>
      </c>
      <c r="T98" s="78" t="str">
        <f t="shared" si="12"/>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milscm_2023_010.azn_202310_backup_merge_dpc_ff1.a006031_icd10_code IS 'ICD10コード';</v>
      </c>
      <c r="AT98" s="4"/>
      <c r="AU98" s="4"/>
      <c r="AV98" s="4"/>
      <c r="AW98" s="4"/>
      <c r="AX98" s="4"/>
      <c r="AY98" s="4"/>
      <c r="AZ98" s="4"/>
    </row>
    <row r="99" spans="1:52" s="25" customFormat="1">
      <c r="A99" s="4"/>
      <c r="B99" s="21">
        <f t="shared" si="2"/>
        <v>87</v>
      </c>
      <c r="C99" s="13" t="s">
        <v>668</v>
      </c>
      <c r="D99" s="13" t="s">
        <v>699</v>
      </c>
      <c r="E99" s="7"/>
      <c r="F99" s="7" t="s">
        <v>318</v>
      </c>
      <c r="G99" s="7" t="str">
        <f t="shared" si="3"/>
        <v>text</v>
      </c>
      <c r="H99" s="58"/>
      <c r="I99" s="23"/>
      <c r="J99" s="24"/>
      <c r="L99" s="4"/>
      <c r="M99" s="4"/>
      <c r="N99" s="78"/>
      <c r="O99" s="78"/>
      <c r="P99" s="78" t="str">
        <f t="shared" si="8"/>
        <v>,a006031_shobyo_code</v>
      </c>
      <c r="Q99" s="78" t="str">
        <f t="shared" si="9"/>
        <v>TEXT</v>
      </c>
      <c r="R99" s="78" t="str">
        <f t="shared" si="10"/>
        <v/>
      </c>
      <c r="S99" s="78" t="str">
        <f t="shared" si="11"/>
        <v/>
      </c>
      <c r="T99" s="78" t="str">
        <f t="shared" si="12"/>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milscm_2023_010.azn_202310_backup_merge_dpc_ff1.a006031_shobyo_code IS '傷病名コード';</v>
      </c>
      <c r="AT99" s="4"/>
      <c r="AU99" s="4"/>
      <c r="AV99" s="4"/>
      <c r="AW99" s="4"/>
      <c r="AX99" s="4"/>
      <c r="AY99" s="4"/>
      <c r="AZ99" s="4"/>
    </row>
    <row r="100" spans="1:52" s="25" customFormat="1">
      <c r="A100" s="4"/>
      <c r="B100" s="21">
        <f t="shared" si="2"/>
        <v>88</v>
      </c>
      <c r="C100" s="13" t="s">
        <v>670</v>
      </c>
      <c r="D100" s="13" t="s">
        <v>700</v>
      </c>
      <c r="E100" s="7"/>
      <c r="F100" s="7" t="s">
        <v>318</v>
      </c>
      <c r="G100" s="7" t="str">
        <f t="shared" si="3"/>
        <v>text</v>
      </c>
      <c r="H100" s="26"/>
      <c r="I100" s="10"/>
      <c r="J100" s="11"/>
      <c r="L100" s="4"/>
      <c r="M100" s="4"/>
      <c r="N100" s="78"/>
      <c r="O100" s="78"/>
      <c r="P100" s="78" t="str">
        <f t="shared" si="8"/>
        <v>,a006031_shushoku_code1</v>
      </c>
      <c r="Q100" s="78" t="str">
        <f t="shared" si="9"/>
        <v>TEXT</v>
      </c>
      <c r="R100" s="78" t="str">
        <f t="shared" si="10"/>
        <v/>
      </c>
      <c r="S100" s="78" t="str">
        <f t="shared" si="11"/>
        <v/>
      </c>
      <c r="T100" s="78" t="str">
        <f t="shared" si="12"/>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milscm_2023_010.azn_202310_backup_merge_dpc_ff1.a006031_shushoku_code1 IS '修飾語コード1';</v>
      </c>
      <c r="AT100" s="4"/>
      <c r="AU100" s="4"/>
      <c r="AV100" s="4"/>
      <c r="AW100" s="4"/>
      <c r="AX100" s="4"/>
      <c r="AY100" s="4"/>
      <c r="AZ100" s="4"/>
    </row>
    <row r="101" spans="1:52" s="25" customFormat="1">
      <c r="A101" s="4"/>
      <c r="B101" s="21">
        <f t="shared" si="2"/>
        <v>89</v>
      </c>
      <c r="C101" s="6" t="s">
        <v>672</v>
      </c>
      <c r="D101" s="6" t="s">
        <v>701</v>
      </c>
      <c r="E101" s="8"/>
      <c r="F101" s="7" t="s">
        <v>318</v>
      </c>
      <c r="G101" s="7" t="str">
        <f t="shared" si="3"/>
        <v>text</v>
      </c>
      <c r="H101" s="58"/>
      <c r="I101" s="23"/>
      <c r="J101" s="24"/>
      <c r="L101" s="4"/>
      <c r="M101" s="4"/>
      <c r="N101" s="78"/>
      <c r="O101" s="78"/>
      <c r="P101" s="78" t="str">
        <f t="shared" si="8"/>
        <v>,a006031_shushoku_code2</v>
      </c>
      <c r="Q101" s="78" t="str">
        <f t="shared" si="9"/>
        <v>TEXT</v>
      </c>
      <c r="R101" s="78" t="str">
        <f t="shared" si="10"/>
        <v/>
      </c>
      <c r="S101" s="78" t="str">
        <f t="shared" si="11"/>
        <v/>
      </c>
      <c r="T101" s="78" t="str">
        <f t="shared" si="12"/>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milscm_2023_010.azn_202310_backup_merge_dpc_ff1.a006031_shushoku_code2 IS '修飾語コード2';</v>
      </c>
      <c r="AT101" s="4"/>
      <c r="AU101" s="4"/>
      <c r="AV101" s="4"/>
      <c r="AW101" s="4"/>
      <c r="AX101" s="4"/>
      <c r="AY101" s="4"/>
      <c r="AZ101" s="4"/>
    </row>
    <row r="102" spans="1:52" s="25" customFormat="1">
      <c r="A102" s="4"/>
      <c r="B102" s="21">
        <f t="shared" si="2"/>
        <v>90</v>
      </c>
      <c r="C102" s="13" t="s">
        <v>674</v>
      </c>
      <c r="D102" s="13" t="s">
        <v>702</v>
      </c>
      <c r="E102" s="7"/>
      <c r="F102" s="7" t="s">
        <v>318</v>
      </c>
      <c r="G102" s="7" t="str">
        <f t="shared" si="3"/>
        <v>text</v>
      </c>
      <c r="H102" s="26"/>
      <c r="I102" s="10"/>
      <c r="J102" s="11"/>
      <c r="L102" s="4"/>
      <c r="M102" s="4"/>
      <c r="N102" s="78"/>
      <c r="O102" s="78"/>
      <c r="P102" s="78" t="str">
        <f t="shared" si="8"/>
        <v>,a006031_shushoku_code3</v>
      </c>
      <c r="Q102" s="78" t="str">
        <f t="shared" si="9"/>
        <v>TEXT</v>
      </c>
      <c r="R102" s="78" t="str">
        <f t="shared" si="10"/>
        <v/>
      </c>
      <c r="S102" s="78" t="str">
        <f t="shared" si="11"/>
        <v/>
      </c>
      <c r="T102" s="78" t="str">
        <f t="shared" si="12"/>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milscm_2023_010.azn_202310_backup_merge_dpc_ff1.a006031_shushoku_code3 IS '修飾語コード3';</v>
      </c>
      <c r="AT102" s="4"/>
      <c r="AU102" s="4"/>
      <c r="AV102" s="4"/>
      <c r="AW102" s="4"/>
      <c r="AX102" s="4"/>
      <c r="AY102" s="4"/>
      <c r="AZ102" s="4"/>
    </row>
    <row r="103" spans="1:52" s="25" customFormat="1">
      <c r="A103" s="4"/>
      <c r="B103" s="21">
        <f t="shared" si="2"/>
        <v>91</v>
      </c>
      <c r="C103" s="6" t="s">
        <v>676</v>
      </c>
      <c r="D103" s="6" t="s">
        <v>703</v>
      </c>
      <c r="E103" s="8"/>
      <c r="F103" s="7" t="s">
        <v>318</v>
      </c>
      <c r="G103" s="7" t="str">
        <f t="shared" si="3"/>
        <v>text</v>
      </c>
      <c r="H103" s="58"/>
      <c r="I103" s="23"/>
      <c r="J103" s="24"/>
      <c r="L103" s="4"/>
      <c r="M103" s="4"/>
      <c r="N103" s="78"/>
      <c r="O103" s="78"/>
      <c r="P103" s="78" t="str">
        <f t="shared" si="8"/>
        <v>,a006031_shushoku_code4</v>
      </c>
      <c r="Q103" s="78" t="str">
        <f t="shared" si="9"/>
        <v>TEXT</v>
      </c>
      <c r="R103" s="78" t="str">
        <f t="shared" si="10"/>
        <v/>
      </c>
      <c r="S103" s="78" t="str">
        <f t="shared" si="11"/>
        <v/>
      </c>
      <c r="T103" s="78" t="str">
        <f t="shared" si="12"/>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milscm_2023_010.azn_202310_backup_merge_dpc_ff1.a006031_shushoku_code4 IS '修飾語コード4';</v>
      </c>
      <c r="AT103" s="4"/>
      <c r="AU103" s="4"/>
      <c r="AV103" s="4"/>
      <c r="AW103" s="4"/>
      <c r="AX103" s="4"/>
      <c r="AY103" s="4"/>
      <c r="AZ103" s="4"/>
    </row>
    <row r="104" spans="1:52" s="25" customFormat="1" ht="31.5">
      <c r="A104" s="4"/>
      <c r="B104" s="21">
        <f t="shared" si="2"/>
        <v>92</v>
      </c>
      <c r="C104" s="13" t="s">
        <v>704</v>
      </c>
      <c r="D104" s="13" t="s">
        <v>705</v>
      </c>
      <c r="E104" s="7"/>
      <c r="F104" s="7" t="s">
        <v>318</v>
      </c>
      <c r="G104" s="7" t="str">
        <f t="shared" si="3"/>
        <v>text</v>
      </c>
      <c r="H104" s="26"/>
      <c r="I104" s="10"/>
      <c r="J104" s="11" t="s">
        <v>841</v>
      </c>
      <c r="L104" s="4"/>
      <c r="M104" s="4"/>
      <c r="N104" s="78"/>
      <c r="O104" s="78"/>
      <c r="P104" s="78" t="str">
        <f t="shared" si="8"/>
        <v>,a006031_iryo2_shobyo_name</v>
      </c>
      <c r="Q104" s="78" t="str">
        <f t="shared" si="9"/>
        <v>TEXT</v>
      </c>
      <c r="R104" s="78" t="str">
        <f t="shared" si="10"/>
        <v/>
      </c>
      <c r="S104" s="78" t="str">
        <f t="shared" si="11"/>
        <v/>
      </c>
      <c r="T104" s="78" t="str">
        <f t="shared" si="12"/>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milscm_2023_010.azn_202310_backup_merge_dpc_ff1.a006031_iryo2_shobyo_name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706</v>
      </c>
      <c r="D105" s="6" t="s">
        <v>707</v>
      </c>
      <c r="E105" s="8"/>
      <c r="F105" s="7" t="s">
        <v>318</v>
      </c>
      <c r="G105" s="7" t="str">
        <f t="shared" si="3"/>
        <v>text</v>
      </c>
      <c r="H105" s="58"/>
      <c r="I105" s="23"/>
      <c r="J105" s="24"/>
      <c r="L105" s="4"/>
      <c r="M105" s="4"/>
      <c r="N105" s="78"/>
      <c r="O105" s="78"/>
      <c r="P105" s="78" t="str">
        <f t="shared" si="8"/>
        <v>,a006060_nanbyo_kokuji_no1</v>
      </c>
      <c r="Q105" s="78" t="str">
        <f t="shared" si="9"/>
        <v>TEXT</v>
      </c>
      <c r="R105" s="78" t="str">
        <f t="shared" si="10"/>
        <v/>
      </c>
      <c r="S105" s="78" t="str">
        <f t="shared" si="11"/>
        <v/>
      </c>
      <c r="T105" s="78" t="str">
        <f t="shared" si="12"/>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milscm_2023_010.azn_202310_backup_merge_dpc_ff1.a006060_nanbyo_kokuji_no1 IS '難病の告示番号1';</v>
      </c>
      <c r="AT105" s="4"/>
      <c r="AU105" s="4"/>
      <c r="AV105" s="4"/>
      <c r="AW105" s="4"/>
      <c r="AX105" s="4"/>
      <c r="AY105" s="4"/>
      <c r="AZ105" s="4"/>
    </row>
    <row r="106" spans="1:52" s="25" customFormat="1" ht="31.5">
      <c r="A106" s="4"/>
      <c r="B106" s="21">
        <f t="shared" si="2"/>
        <v>94</v>
      </c>
      <c r="C106" s="6" t="s">
        <v>708</v>
      </c>
      <c r="D106" s="6" t="s">
        <v>709</v>
      </c>
      <c r="E106" s="8"/>
      <c r="F106" s="7" t="s">
        <v>318</v>
      </c>
      <c r="G106" s="7" t="str">
        <f t="shared" si="3"/>
        <v>text</v>
      </c>
      <c r="H106" s="58"/>
      <c r="I106" s="23"/>
      <c r="J106" s="24" t="s">
        <v>842</v>
      </c>
      <c r="L106" s="4"/>
      <c r="M106" s="4"/>
      <c r="N106" s="78"/>
      <c r="O106" s="78"/>
      <c r="P106" s="78" t="str">
        <f t="shared" si="8"/>
        <v>,a006060_iryohi_josei_flag1</v>
      </c>
      <c r="Q106" s="78" t="str">
        <f t="shared" si="9"/>
        <v>TEXT</v>
      </c>
      <c r="R106" s="78" t="str">
        <f t="shared" si="10"/>
        <v/>
      </c>
      <c r="S106" s="78" t="str">
        <f t="shared" si="11"/>
        <v/>
      </c>
      <c r="T106" s="78" t="str">
        <f t="shared" si="12"/>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milscm_2023_010.azn_202310_backup_merge_dpc_ff1.a006060_iryohi_josei_flag1 IS '医療費助成の有無1';</v>
      </c>
      <c r="AT106" s="4"/>
      <c r="AU106" s="4"/>
      <c r="AV106" s="4"/>
      <c r="AW106" s="4"/>
      <c r="AX106" s="4"/>
      <c r="AY106" s="4"/>
      <c r="AZ106" s="4"/>
    </row>
    <row r="107" spans="1:52" s="25" customFormat="1" ht="31.5">
      <c r="A107" s="4"/>
      <c r="B107" s="21">
        <f t="shared" si="2"/>
        <v>95</v>
      </c>
      <c r="C107" s="13" t="s">
        <v>710</v>
      </c>
      <c r="D107" s="13" t="s">
        <v>711</v>
      </c>
      <c r="E107" s="7"/>
      <c r="F107" s="7" t="s">
        <v>318</v>
      </c>
      <c r="G107" s="7" t="str">
        <f t="shared" si="3"/>
        <v>text</v>
      </c>
      <c r="H107" s="26"/>
      <c r="I107" s="10"/>
      <c r="J107" s="11"/>
      <c r="L107" s="4"/>
      <c r="M107" s="4"/>
      <c r="N107" s="78"/>
      <c r="O107" s="78"/>
      <c r="P107" s="78" t="str">
        <f t="shared" si="8"/>
        <v>,a006060_nanbyo_kokuji_no2</v>
      </c>
      <c r="Q107" s="78" t="str">
        <f t="shared" si="9"/>
        <v>TEXT</v>
      </c>
      <c r="R107" s="78" t="str">
        <f t="shared" si="10"/>
        <v/>
      </c>
      <c r="S107" s="78" t="str">
        <f t="shared" si="11"/>
        <v/>
      </c>
      <c r="T107" s="78" t="str">
        <f t="shared" si="12"/>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milscm_2023_010.azn_202310_backup_merge_dpc_ff1.a006060_nanbyo_kokuji_no2 IS '難病の告示番号2';</v>
      </c>
      <c r="AT107" s="4"/>
      <c r="AU107" s="4"/>
      <c r="AV107" s="4"/>
      <c r="AW107" s="4"/>
      <c r="AX107" s="4"/>
      <c r="AY107" s="4"/>
      <c r="AZ107" s="4"/>
    </row>
    <row r="108" spans="1:52" s="25" customFormat="1" ht="31.5">
      <c r="A108" s="4"/>
      <c r="B108" s="21">
        <f t="shared" si="2"/>
        <v>96</v>
      </c>
      <c r="C108" s="6" t="s">
        <v>712</v>
      </c>
      <c r="D108" s="6" t="s">
        <v>713</v>
      </c>
      <c r="E108" s="8"/>
      <c r="F108" s="7" t="s">
        <v>318</v>
      </c>
      <c r="G108" s="7" t="str">
        <f t="shared" si="3"/>
        <v>text</v>
      </c>
      <c r="H108" s="26"/>
      <c r="I108" s="10"/>
      <c r="J108" s="11" t="s">
        <v>842</v>
      </c>
      <c r="L108" s="4"/>
      <c r="M108" s="4"/>
      <c r="N108" s="78"/>
      <c r="O108" s="78"/>
      <c r="P108" s="78" t="str">
        <f t="shared" si="8"/>
        <v>,a006060_iryohi_josei_flag2</v>
      </c>
      <c r="Q108" s="78" t="str">
        <f t="shared" si="9"/>
        <v>TEXT</v>
      </c>
      <c r="R108" s="78" t="str">
        <f t="shared" si="10"/>
        <v/>
      </c>
      <c r="S108" s="78" t="str">
        <f t="shared" si="11"/>
        <v/>
      </c>
      <c r="T108" s="78" t="str">
        <f t="shared" si="12"/>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milscm_2023_010.azn_202310_backup_merge_dpc_ff1.a006060_iryohi_josei_flag2 IS '医療費助成の有無2';</v>
      </c>
      <c r="AT108" s="4"/>
      <c r="AU108" s="4"/>
      <c r="AV108" s="4"/>
      <c r="AW108" s="4"/>
      <c r="AX108" s="4"/>
      <c r="AY108" s="4"/>
      <c r="AZ108" s="4"/>
    </row>
    <row r="109" spans="1:52" s="25" customFormat="1">
      <c r="A109" s="4"/>
      <c r="B109" s="21">
        <f t="shared" si="2"/>
        <v>97</v>
      </c>
      <c r="C109" s="13" t="s">
        <v>714</v>
      </c>
      <c r="D109" s="13" t="s">
        <v>715</v>
      </c>
      <c r="E109" s="7"/>
      <c r="F109" s="7" t="s">
        <v>318</v>
      </c>
      <c r="G109" s="7" t="str">
        <f t="shared" si="3"/>
        <v>text</v>
      </c>
      <c r="H109" s="58"/>
      <c r="I109" s="23"/>
      <c r="J109" s="24" t="s">
        <v>843</v>
      </c>
      <c r="L109" s="4"/>
      <c r="M109" s="4"/>
      <c r="N109" s="78"/>
      <c r="O109" s="78"/>
      <c r="P109" s="78" t="str">
        <f t="shared" si="8"/>
        <v>,adl0010_nyuin_adl</v>
      </c>
      <c r="Q109" s="78" t="str">
        <f t="shared" si="9"/>
        <v>TEXT</v>
      </c>
      <c r="R109" s="78" t="str">
        <f t="shared" si="10"/>
        <v/>
      </c>
      <c r="S109" s="78" t="str">
        <f t="shared" si="11"/>
        <v/>
      </c>
      <c r="T109" s="78" t="str">
        <f t="shared" si="12"/>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milscm_2023_010.azn_202310_backup_merge_dpc_ff1.adl0010_nyuin_adl IS '入院時のADLスコア';</v>
      </c>
      <c r="AT109" s="4"/>
      <c r="AU109" s="4"/>
      <c r="AV109" s="4"/>
      <c r="AW109" s="4"/>
      <c r="AX109" s="4"/>
      <c r="AY109" s="4"/>
      <c r="AZ109" s="4"/>
    </row>
    <row r="110" spans="1:52" s="25" customFormat="1">
      <c r="A110" s="4"/>
      <c r="B110" s="21">
        <f t="shared" si="2"/>
        <v>98</v>
      </c>
      <c r="C110" s="6" t="s">
        <v>716</v>
      </c>
      <c r="D110" s="6" t="s">
        <v>717</v>
      </c>
      <c r="E110" s="8"/>
      <c r="F110" s="7" t="s">
        <v>318</v>
      </c>
      <c r="G110" s="7" t="str">
        <f t="shared" si="3"/>
        <v>text</v>
      </c>
      <c r="H110" s="26"/>
      <c r="I110" s="10"/>
      <c r="J110" s="11" t="s">
        <v>843</v>
      </c>
      <c r="L110" s="4"/>
      <c r="M110" s="4"/>
      <c r="N110" s="78"/>
      <c r="O110" s="78"/>
      <c r="P110" s="78" t="str">
        <f t="shared" si="8"/>
        <v>,adl0020_taiin_adl</v>
      </c>
      <c r="Q110" s="78" t="str">
        <f t="shared" si="9"/>
        <v>TEXT</v>
      </c>
      <c r="R110" s="78" t="str">
        <f t="shared" si="10"/>
        <v/>
      </c>
      <c r="S110" s="78" t="str">
        <f t="shared" si="11"/>
        <v/>
      </c>
      <c r="T110" s="78" t="str">
        <f t="shared" si="12"/>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milscm_2023_010.azn_202310_backup_merge_dpc_ff1.adl0020_taiin_adl IS '退院時のADLスコア';</v>
      </c>
      <c r="AT110" s="4"/>
      <c r="AU110" s="4"/>
      <c r="AV110" s="4"/>
      <c r="AW110" s="4"/>
      <c r="AX110" s="4"/>
      <c r="AY110" s="4"/>
      <c r="AZ110" s="4"/>
    </row>
    <row r="111" spans="1:52" s="25" customFormat="1">
      <c r="A111" s="4"/>
      <c r="B111" s="21">
        <f t="shared" si="2"/>
        <v>99</v>
      </c>
      <c r="C111" s="13" t="s">
        <v>718</v>
      </c>
      <c r="D111" s="13" t="s">
        <v>719</v>
      </c>
      <c r="E111" s="7"/>
      <c r="F111" s="7" t="s">
        <v>318</v>
      </c>
      <c r="G111" s="7" t="str">
        <f t="shared" si="3"/>
        <v>text</v>
      </c>
      <c r="H111" s="58"/>
      <c r="I111" s="23"/>
      <c r="J111" s="24" t="s">
        <v>843</v>
      </c>
      <c r="L111" s="4"/>
      <c r="M111" s="4"/>
      <c r="N111" s="78"/>
      <c r="O111" s="78"/>
      <c r="P111" s="78" t="str">
        <f t="shared" si="8"/>
        <v>,adl0030_nyutou_adl</v>
      </c>
      <c r="Q111" s="78" t="str">
        <f t="shared" si="9"/>
        <v>TEXT</v>
      </c>
      <c r="R111" s="78" t="str">
        <f t="shared" si="10"/>
        <v/>
      </c>
      <c r="S111" s="78" t="str">
        <f t="shared" si="11"/>
        <v/>
      </c>
      <c r="T111" s="78" t="str">
        <f t="shared" si="12"/>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milscm_2023_010.azn_202310_backup_merge_dpc_ff1.adl0030_nyutou_adl IS '入棟・入室時のADLスコア';</v>
      </c>
      <c r="AT111" s="4"/>
      <c r="AU111" s="4"/>
      <c r="AV111" s="4"/>
      <c r="AW111" s="4"/>
      <c r="AX111" s="4"/>
      <c r="AY111" s="4"/>
      <c r="AZ111" s="4"/>
    </row>
    <row r="112" spans="1:52" s="25" customFormat="1">
      <c r="A112" s="4"/>
      <c r="B112" s="21">
        <f t="shared" si="2"/>
        <v>100</v>
      </c>
      <c r="C112" s="6" t="s">
        <v>720</v>
      </c>
      <c r="D112" s="6" t="s">
        <v>721</v>
      </c>
      <c r="E112" s="8"/>
      <c r="F112" s="7" t="s">
        <v>318</v>
      </c>
      <c r="G112" s="7" t="str">
        <f t="shared" si="3"/>
        <v>text</v>
      </c>
      <c r="H112" s="26"/>
      <c r="I112" s="10"/>
      <c r="J112" s="11" t="s">
        <v>843</v>
      </c>
      <c r="L112" s="4"/>
      <c r="M112" s="4"/>
      <c r="N112" s="78"/>
      <c r="O112" s="78"/>
      <c r="P112" s="78" t="str">
        <f t="shared" ref="P112:P155" si="13">IF(B112&lt;&gt;1,","&amp;D112,D112)</f>
        <v>,adl0040_taitou_adl</v>
      </c>
      <c r="Q112" s="78" t="str">
        <f t="shared" ref="Q112:Q155" si="14">UPPER(G112)</f>
        <v>TEXT</v>
      </c>
      <c r="R112" s="78" t="str">
        <f t="shared" ref="R112:R155" si="15">IF(H112&lt;&gt;"","default "&amp;IF(G112="text","'"&amp;H112&amp;"'",H112),"")</f>
        <v/>
      </c>
      <c r="S112" s="78" t="str">
        <f t="shared" ref="S112:S155" si="16">IF(I112="○","NOT NULL","")</f>
        <v/>
      </c>
      <c r="T112" s="78" t="str">
        <f t="shared" ref="T112:T155" si="17">"-- "&amp;C112</f>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milscm_2023_010.azn_202310_backup_merge_dpc_ff1.adl0040_taitou_adl IS '退棟・退室時のADLスコア';</v>
      </c>
      <c r="AT112" s="4"/>
      <c r="AU112" s="4"/>
      <c r="AV112" s="4"/>
      <c r="AW112" s="4"/>
      <c r="AX112" s="4"/>
      <c r="AY112" s="4"/>
      <c r="AZ112" s="4"/>
    </row>
    <row r="113" spans="1:52" s="25" customFormat="1">
      <c r="A113" s="4"/>
      <c r="B113" s="21">
        <f t="shared" si="2"/>
        <v>101</v>
      </c>
      <c r="C113" s="13" t="s">
        <v>722</v>
      </c>
      <c r="D113" s="13" t="s">
        <v>723</v>
      </c>
      <c r="E113" s="7"/>
      <c r="F113" s="7" t="s">
        <v>318</v>
      </c>
      <c r="G113" s="7" t="str">
        <f t="shared" si="3"/>
        <v>text</v>
      </c>
      <c r="H113" s="58"/>
      <c r="I113" s="23"/>
      <c r="J113" s="24" t="s">
        <v>844</v>
      </c>
      <c r="L113" s="4"/>
      <c r="M113" s="4"/>
      <c r="N113" s="78"/>
      <c r="O113" s="78"/>
      <c r="P113" s="78" t="str">
        <f t="shared" si="13"/>
        <v>,can0010_gan_shohatsu</v>
      </c>
      <c r="Q113" s="78" t="str">
        <f t="shared" si="14"/>
        <v>TEXT</v>
      </c>
      <c r="R113" s="78" t="str">
        <f t="shared" si="15"/>
        <v/>
      </c>
      <c r="S113" s="78" t="str">
        <f t="shared" si="16"/>
        <v/>
      </c>
      <c r="T113" s="78" t="str">
        <f t="shared" si="17"/>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milscm_2023_010.azn_202310_backup_merge_dpc_ff1.can0010_gan_shohatsu IS 'がんの初発、再発';</v>
      </c>
      <c r="AT113" s="4"/>
      <c r="AU113" s="4"/>
      <c r="AV113" s="4"/>
      <c r="AW113" s="4"/>
      <c r="AX113" s="4"/>
      <c r="AY113" s="4"/>
      <c r="AZ113" s="4"/>
    </row>
    <row r="114" spans="1:52" s="25" customFormat="1">
      <c r="A114" s="4"/>
      <c r="B114" s="21">
        <f t="shared" si="2"/>
        <v>102</v>
      </c>
      <c r="C114" s="6" t="s">
        <v>724</v>
      </c>
      <c r="D114" s="6" t="s">
        <v>725</v>
      </c>
      <c r="E114" s="8"/>
      <c r="F114" s="7" t="s">
        <v>318</v>
      </c>
      <c r="G114" s="7" t="str">
        <f t="shared" si="3"/>
        <v>text</v>
      </c>
      <c r="H114" s="26"/>
      <c r="I114" s="10"/>
      <c r="J114" s="11"/>
      <c r="L114" s="4"/>
      <c r="M114" s="4"/>
      <c r="N114" s="78"/>
      <c r="O114" s="78"/>
      <c r="P114" s="78" t="str">
        <f t="shared" si="13"/>
        <v>,can0020_uicc_t</v>
      </c>
      <c r="Q114" s="78" t="str">
        <f t="shared" si="14"/>
        <v>TEXT</v>
      </c>
      <c r="R114" s="78" t="str">
        <f t="shared" si="15"/>
        <v/>
      </c>
      <c r="S114" s="78" t="str">
        <f t="shared" si="16"/>
        <v/>
      </c>
      <c r="T114" s="78" t="str">
        <f t="shared" si="17"/>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milscm_2023_010.azn_202310_backup_merge_dpc_ff1.can0020_uicc_t IS 'UICC病期分類（T）';</v>
      </c>
      <c r="AT114" s="4"/>
      <c r="AU114" s="4"/>
      <c r="AV114" s="4"/>
      <c r="AW114" s="4"/>
      <c r="AX114" s="4"/>
      <c r="AY114" s="4"/>
      <c r="AZ114" s="4"/>
    </row>
    <row r="115" spans="1:52" s="25" customFormat="1">
      <c r="A115" s="4"/>
      <c r="B115" s="21">
        <f t="shared" si="2"/>
        <v>103</v>
      </c>
      <c r="C115" s="13" t="s">
        <v>726</v>
      </c>
      <c r="D115" s="13" t="s">
        <v>727</v>
      </c>
      <c r="E115" s="7"/>
      <c r="F115" s="7" t="s">
        <v>318</v>
      </c>
      <c r="G115" s="7" t="str">
        <f t="shared" si="3"/>
        <v>text</v>
      </c>
      <c r="H115" s="58"/>
      <c r="I115" s="23"/>
      <c r="J115" s="24"/>
      <c r="L115" s="4"/>
      <c r="M115" s="4"/>
      <c r="N115" s="78"/>
      <c r="O115" s="78"/>
      <c r="P115" s="78" t="str">
        <f t="shared" si="13"/>
        <v>,can0020_uicc_n</v>
      </c>
      <c r="Q115" s="78" t="str">
        <f t="shared" si="14"/>
        <v>TEXT</v>
      </c>
      <c r="R115" s="78" t="str">
        <f t="shared" si="15"/>
        <v/>
      </c>
      <c r="S115" s="78" t="str">
        <f t="shared" si="16"/>
        <v/>
      </c>
      <c r="T115" s="78" t="str">
        <f t="shared" si="17"/>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milscm_2023_010.azn_202310_backup_merge_dpc_ff1.can0020_uicc_n IS 'UICC病期分類（N）';</v>
      </c>
      <c r="AT115" s="4"/>
      <c r="AU115" s="4"/>
      <c r="AV115" s="4"/>
      <c r="AW115" s="4"/>
      <c r="AX115" s="4"/>
      <c r="AY115" s="4"/>
      <c r="AZ115" s="4"/>
    </row>
    <row r="116" spans="1:52" s="25" customFormat="1">
      <c r="A116" s="4"/>
      <c r="B116" s="21">
        <f t="shared" si="2"/>
        <v>104</v>
      </c>
      <c r="C116" s="13" t="s">
        <v>728</v>
      </c>
      <c r="D116" s="13" t="s">
        <v>729</v>
      </c>
      <c r="E116" s="7"/>
      <c r="F116" s="7" t="s">
        <v>318</v>
      </c>
      <c r="G116" s="7" t="str">
        <f t="shared" si="3"/>
        <v>text</v>
      </c>
      <c r="H116" s="26"/>
      <c r="I116" s="10"/>
      <c r="J116" s="11"/>
      <c r="L116" s="4"/>
      <c r="M116" s="4"/>
      <c r="N116" s="78"/>
      <c r="O116" s="78"/>
      <c r="P116" s="78" t="str">
        <f t="shared" si="13"/>
        <v>,can0020_uicc_m</v>
      </c>
      <c r="Q116" s="78" t="str">
        <f t="shared" si="14"/>
        <v>TEXT</v>
      </c>
      <c r="R116" s="78" t="str">
        <f t="shared" si="15"/>
        <v/>
      </c>
      <c r="S116" s="78" t="str">
        <f t="shared" si="16"/>
        <v/>
      </c>
      <c r="T116" s="78" t="str">
        <f t="shared" si="17"/>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milscm_2023_010.azn_202310_backup_merge_dpc_ff1.can0020_uicc_m IS 'UICC病期分類（M）';</v>
      </c>
      <c r="AT116" s="4"/>
      <c r="AU116" s="4"/>
      <c r="AV116" s="4"/>
      <c r="AW116" s="4"/>
      <c r="AX116" s="4"/>
      <c r="AY116" s="4"/>
      <c r="AZ116" s="4"/>
    </row>
    <row r="117" spans="1:52" s="25" customFormat="1">
      <c r="A117" s="4"/>
      <c r="B117" s="21">
        <f t="shared" si="2"/>
        <v>105</v>
      </c>
      <c r="C117" s="13" t="s">
        <v>730</v>
      </c>
      <c r="D117" s="13" t="s">
        <v>731</v>
      </c>
      <c r="E117" s="7"/>
      <c r="F117" s="7" t="s">
        <v>318</v>
      </c>
      <c r="G117" s="7" t="str">
        <f t="shared" si="3"/>
        <v>text</v>
      </c>
      <c r="H117" s="58"/>
      <c r="I117" s="23"/>
      <c r="J117" s="24" t="s">
        <v>845</v>
      </c>
      <c r="L117" s="4"/>
      <c r="M117" s="4"/>
      <c r="N117" s="78"/>
      <c r="O117" s="78"/>
      <c r="P117" s="78" t="str">
        <f t="shared" si="13"/>
        <v>,can0020_uicc_han</v>
      </c>
      <c r="Q117" s="78" t="str">
        <f t="shared" si="14"/>
        <v>TEXT</v>
      </c>
      <c r="R117" s="78" t="str">
        <f t="shared" si="15"/>
        <v/>
      </c>
      <c r="S117" s="78" t="str">
        <f t="shared" si="16"/>
        <v/>
      </c>
      <c r="T117" s="78" t="str">
        <f t="shared" si="17"/>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milscm_2023_010.azn_202310_backup_merge_dpc_ff1.can0020_uicc_han IS 'UICC病期分類（版）';</v>
      </c>
      <c r="AT117" s="4"/>
      <c r="AU117" s="4"/>
      <c r="AV117" s="4"/>
      <c r="AW117" s="4"/>
      <c r="AX117" s="4"/>
      <c r="AY117" s="4"/>
      <c r="AZ117" s="4"/>
    </row>
    <row r="118" spans="1:52" s="25" customFormat="1" ht="31.5">
      <c r="A118" s="4"/>
      <c r="B118" s="21">
        <f t="shared" si="2"/>
        <v>106</v>
      </c>
      <c r="C118" s="6" t="s">
        <v>732</v>
      </c>
      <c r="D118" s="6" t="s">
        <v>733</v>
      </c>
      <c r="E118" s="8"/>
      <c r="F118" s="7" t="s">
        <v>318</v>
      </c>
      <c r="G118" s="7" t="str">
        <f t="shared" si="3"/>
        <v>text</v>
      </c>
      <c r="H118" s="58"/>
      <c r="I118" s="23"/>
      <c r="J118" s="24"/>
      <c r="L118" s="4"/>
      <c r="M118" s="4"/>
      <c r="N118" s="78"/>
      <c r="O118" s="78"/>
      <c r="P118" s="78" t="str">
        <f t="shared" si="13"/>
        <v>,can0030_gan_stage</v>
      </c>
      <c r="Q118" s="78" t="str">
        <f t="shared" si="14"/>
        <v>TEXT</v>
      </c>
      <c r="R118" s="78" t="str">
        <f t="shared" si="15"/>
        <v/>
      </c>
      <c r="S118" s="78" t="str">
        <f t="shared" si="16"/>
        <v/>
      </c>
      <c r="T118" s="78" t="str">
        <f t="shared" si="17"/>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milscm_2023_010.azn_202310_backup_merge_dpc_ff1.can0030_gan_stage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734</v>
      </c>
      <c r="D119" s="13" t="s">
        <v>735</v>
      </c>
      <c r="E119" s="7"/>
      <c r="F119" s="7" t="s">
        <v>318</v>
      </c>
      <c r="G119" s="7" t="str">
        <f t="shared" si="3"/>
        <v>text</v>
      </c>
      <c r="H119" s="26"/>
      <c r="I119" s="10"/>
      <c r="J119" s="11" t="s">
        <v>846</v>
      </c>
      <c r="L119" s="4"/>
      <c r="M119" s="4"/>
      <c r="N119" s="78"/>
      <c r="O119" s="78"/>
      <c r="P119" s="78" t="str">
        <f t="shared" si="13"/>
        <v>,can0040_kagaku_ryoho_flag</v>
      </c>
      <c r="Q119" s="78" t="str">
        <f t="shared" si="14"/>
        <v>TEXT</v>
      </c>
      <c r="R119" s="78" t="str">
        <f t="shared" si="15"/>
        <v/>
      </c>
      <c r="S119" s="78" t="str">
        <f t="shared" si="16"/>
        <v/>
      </c>
      <c r="T119" s="78" t="str">
        <f t="shared" si="17"/>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milscm_2023_010.azn_202310_backup_merge_dpc_ff1.can0040_kagaku_ryoho_flag IS '化学療法の有無';</v>
      </c>
      <c r="AT119" s="4"/>
      <c r="AU119" s="4"/>
      <c r="AV119" s="4"/>
      <c r="AW119" s="4"/>
      <c r="AX119" s="4"/>
      <c r="AY119" s="4"/>
      <c r="AZ119" s="4"/>
    </row>
    <row r="120" spans="1:52" s="25" customFormat="1" ht="75">
      <c r="A120" s="4"/>
      <c r="B120" s="21">
        <f t="shared" si="2"/>
        <v>108</v>
      </c>
      <c r="C120" s="6" t="s">
        <v>736</v>
      </c>
      <c r="D120" s="6" t="s">
        <v>737</v>
      </c>
      <c r="E120" s="8"/>
      <c r="F120" s="7" t="s">
        <v>318</v>
      </c>
      <c r="G120" s="7" t="str">
        <f t="shared" si="3"/>
        <v>text</v>
      </c>
      <c r="H120" s="26"/>
      <c r="I120" s="10"/>
      <c r="J120" s="11" t="s">
        <v>847</v>
      </c>
      <c r="L120" s="4"/>
      <c r="M120" s="4"/>
      <c r="N120" s="78"/>
      <c r="O120" s="78"/>
      <c r="P120" s="78" t="str">
        <f t="shared" si="13"/>
        <v>,jcs0010_nyuin_jcs</v>
      </c>
      <c r="Q120" s="78" t="str">
        <f t="shared" si="14"/>
        <v>TEXT</v>
      </c>
      <c r="R120" s="78" t="str">
        <f t="shared" si="15"/>
        <v/>
      </c>
      <c r="S120" s="78" t="str">
        <f t="shared" si="16"/>
        <v/>
      </c>
      <c r="T120" s="78" t="str">
        <f t="shared" si="17"/>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milscm_2023_010.azn_202310_backup_merge_dpc_ff1.jcs0010_nyuin_jcs IS '入院時意識障害がある場合のJCS';</v>
      </c>
      <c r="AT120" s="4"/>
      <c r="AU120" s="4"/>
      <c r="AV120" s="4"/>
      <c r="AW120" s="4"/>
      <c r="AX120" s="4"/>
      <c r="AY120" s="4"/>
      <c r="AZ120" s="4"/>
    </row>
    <row r="121" spans="1:52" s="25" customFormat="1" ht="37.5">
      <c r="A121" s="4"/>
      <c r="B121" s="21">
        <f t="shared" si="2"/>
        <v>109</v>
      </c>
      <c r="C121" s="13" t="s">
        <v>738</v>
      </c>
      <c r="D121" s="13" t="s">
        <v>739</v>
      </c>
      <c r="E121" s="7"/>
      <c r="F121" s="7" t="s">
        <v>740</v>
      </c>
      <c r="G121" s="7" t="str">
        <f t="shared" si="3"/>
        <v>text</v>
      </c>
      <c r="H121" s="58"/>
      <c r="I121" s="23"/>
      <c r="J121" s="24" t="s">
        <v>848</v>
      </c>
      <c r="L121" s="4"/>
      <c r="M121" s="4"/>
      <c r="N121" s="78"/>
      <c r="O121" s="78"/>
      <c r="P121" s="78" t="str">
        <f t="shared" si="13"/>
        <v>,jcs0010_emergency_jcs</v>
      </c>
      <c r="Q121" s="78" t="str">
        <f t="shared" si="14"/>
        <v>TEXT</v>
      </c>
      <c r="R121" s="78" t="str">
        <f t="shared" si="15"/>
        <v/>
      </c>
      <c r="S121" s="78" t="str">
        <f t="shared" si="16"/>
        <v/>
      </c>
      <c r="T121" s="78" t="str">
        <f t="shared" si="17"/>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milscm_2023_010.azn_202310_backup_merge_dpc_ff1.jcs0010_emergency_jcs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741</v>
      </c>
      <c r="D122" s="6" t="s">
        <v>742</v>
      </c>
      <c r="E122" s="8"/>
      <c r="F122" s="7" t="s">
        <v>740</v>
      </c>
      <c r="G122" s="7" t="str">
        <f t="shared" si="3"/>
        <v>text</v>
      </c>
      <c r="H122" s="26"/>
      <c r="I122" s="10"/>
      <c r="J122" s="11" t="s">
        <v>849</v>
      </c>
      <c r="L122" s="4"/>
      <c r="M122" s="4"/>
      <c r="N122" s="78"/>
      <c r="O122" s="78"/>
      <c r="P122" s="78" t="str">
        <f t="shared" si="13"/>
        <v>,jcs0010_nyusitsu_jcs</v>
      </c>
      <c r="Q122" s="78" t="str">
        <f t="shared" si="14"/>
        <v>TEXT</v>
      </c>
      <c r="R122" s="78" t="str">
        <f t="shared" si="15"/>
        <v/>
      </c>
      <c r="S122" s="78" t="str">
        <f t="shared" si="16"/>
        <v/>
      </c>
      <c r="T122" s="78" t="str">
        <f t="shared" si="17"/>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milscm_2023_010.azn_202310_backup_merge_dpc_ff1.jcs0010_nyusitsu_jcs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743</v>
      </c>
      <c r="D123" s="13" t="s">
        <v>744</v>
      </c>
      <c r="E123" s="7"/>
      <c r="F123" s="7" t="s">
        <v>318</v>
      </c>
      <c r="G123" s="7" t="str">
        <f t="shared" si="3"/>
        <v>text</v>
      </c>
      <c r="H123" s="58"/>
      <c r="I123" s="23"/>
      <c r="J123" s="24" t="s">
        <v>847</v>
      </c>
      <c r="L123" s="4"/>
      <c r="M123" s="4"/>
      <c r="N123" s="78"/>
      <c r="O123" s="78"/>
      <c r="P123" s="78" t="str">
        <f t="shared" si="13"/>
        <v>,jcs0020_taiin_jcs</v>
      </c>
      <c r="Q123" s="78" t="str">
        <f t="shared" si="14"/>
        <v>TEXT</v>
      </c>
      <c r="R123" s="78" t="str">
        <f t="shared" si="15"/>
        <v/>
      </c>
      <c r="S123" s="78" t="str">
        <f t="shared" si="16"/>
        <v/>
      </c>
      <c r="T123" s="78" t="str">
        <f t="shared" si="17"/>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milscm_2023_010.azn_202310_backup_merge_dpc_ff1.jcs0020_taiin_jcs IS '退院時意識障害がある場合のJCS';</v>
      </c>
      <c r="AT123" s="4"/>
      <c r="AU123" s="4"/>
      <c r="AV123" s="4"/>
      <c r="AW123" s="4"/>
      <c r="AX123" s="4"/>
      <c r="AY123" s="4"/>
      <c r="AZ123" s="4"/>
    </row>
    <row r="124" spans="1:52" s="25" customFormat="1" ht="31.5">
      <c r="A124" s="4"/>
      <c r="B124" s="21">
        <f t="shared" si="2"/>
        <v>112</v>
      </c>
      <c r="C124" s="6" t="s">
        <v>745</v>
      </c>
      <c r="D124" s="6" t="s">
        <v>746</v>
      </c>
      <c r="E124" s="8"/>
      <c r="F124" s="7" t="s">
        <v>318</v>
      </c>
      <c r="G124" s="7" t="str">
        <f t="shared" si="3"/>
        <v>text</v>
      </c>
      <c r="H124" s="26"/>
      <c r="I124" s="10"/>
      <c r="J124" s="11"/>
      <c r="L124" s="4"/>
      <c r="M124" s="4"/>
      <c r="N124" s="78"/>
      <c r="O124" s="78"/>
      <c r="P124" s="78" t="str">
        <f t="shared" si="13"/>
        <v>,m010010_before_rankin_scale</v>
      </c>
      <c r="Q124" s="78" t="str">
        <f t="shared" si="14"/>
        <v>TEXT</v>
      </c>
      <c r="R124" s="78" t="str">
        <f t="shared" si="15"/>
        <v/>
      </c>
      <c r="S124" s="78" t="str">
        <f t="shared" si="16"/>
        <v/>
      </c>
      <c r="T124" s="78" t="str">
        <f t="shared" si="17"/>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milscm_2023_010.azn_202310_backup_merge_dpc_ff1.m010010_before_rankin_scale IS '発症前RankinScale';</v>
      </c>
      <c r="AT124" s="4"/>
      <c r="AU124" s="4"/>
      <c r="AV124" s="4"/>
      <c r="AW124" s="4"/>
      <c r="AX124" s="4"/>
      <c r="AY124" s="4"/>
      <c r="AZ124" s="4"/>
    </row>
    <row r="125" spans="1:52" s="25" customFormat="1">
      <c r="A125" s="4"/>
      <c r="B125" s="21">
        <f t="shared" si="2"/>
        <v>113</v>
      </c>
      <c r="C125" s="13" t="s">
        <v>747</v>
      </c>
      <c r="D125" s="13" t="s">
        <v>748</v>
      </c>
      <c r="E125" s="7"/>
      <c r="F125" s="7" t="s">
        <v>318</v>
      </c>
      <c r="G125" s="7" t="str">
        <f t="shared" si="3"/>
        <v>text</v>
      </c>
      <c r="H125" s="58"/>
      <c r="I125" s="23"/>
      <c r="J125" s="24"/>
      <c r="L125" s="4"/>
      <c r="M125" s="4"/>
      <c r="N125" s="78"/>
      <c r="O125" s="78"/>
      <c r="P125" s="78" t="str">
        <f t="shared" si="13"/>
        <v>,m010010_stroke</v>
      </c>
      <c r="Q125" s="78" t="str">
        <f t="shared" si="14"/>
        <v>TEXT</v>
      </c>
      <c r="R125" s="78" t="str">
        <f t="shared" si="15"/>
        <v/>
      </c>
      <c r="S125" s="78" t="str">
        <f t="shared" si="16"/>
        <v/>
      </c>
      <c r="T125" s="78" t="str">
        <f t="shared" si="17"/>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milscm_2023_010.azn_202310_backup_merge_dpc_ff1.m010010_stroke IS '脳卒中の発症時期';</v>
      </c>
      <c r="AT125" s="4"/>
      <c r="AU125" s="4"/>
      <c r="AV125" s="4"/>
      <c r="AW125" s="4"/>
      <c r="AX125" s="4"/>
      <c r="AY125" s="4"/>
      <c r="AZ125" s="4"/>
    </row>
    <row r="126" spans="1:52" s="25" customFormat="1" ht="31.5">
      <c r="A126" s="4"/>
      <c r="B126" s="21">
        <f t="shared" si="2"/>
        <v>114</v>
      </c>
      <c r="C126" s="13" t="s">
        <v>749</v>
      </c>
      <c r="D126" s="13" t="s">
        <v>750</v>
      </c>
      <c r="E126" s="7"/>
      <c r="F126" s="7" t="s">
        <v>318</v>
      </c>
      <c r="G126" s="7" t="str">
        <f t="shared" si="3"/>
        <v>text</v>
      </c>
      <c r="H126" s="26"/>
      <c r="I126" s="10"/>
      <c r="J126" s="11"/>
      <c r="L126" s="4"/>
      <c r="M126" s="4"/>
      <c r="N126" s="78"/>
      <c r="O126" s="78"/>
      <c r="P126" s="78" t="str">
        <f t="shared" si="13"/>
        <v>,m010020_taiin_modified_rankin</v>
      </c>
      <c r="Q126" s="78" t="str">
        <f t="shared" si="14"/>
        <v>TEXT</v>
      </c>
      <c r="R126" s="78" t="str">
        <f t="shared" si="15"/>
        <v/>
      </c>
      <c r="S126" s="78" t="str">
        <f t="shared" si="16"/>
        <v/>
      </c>
      <c r="T126" s="78" t="str">
        <f t="shared" si="17"/>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milscm_2023_010.azn_202310_backup_merge_dpc_ff1.m010020_taiin_modified_rankin IS '退院時modifiedRankin';</v>
      </c>
      <c r="AT126" s="4"/>
      <c r="AU126" s="4"/>
      <c r="AV126" s="4"/>
      <c r="AW126" s="4"/>
      <c r="AX126" s="4"/>
      <c r="AY126" s="4"/>
      <c r="AZ126" s="4"/>
    </row>
    <row r="127" spans="1:52" s="25" customFormat="1" ht="31.5">
      <c r="A127" s="4"/>
      <c r="B127" s="21">
        <f t="shared" si="2"/>
        <v>115</v>
      </c>
      <c r="C127" s="6" t="s">
        <v>751</v>
      </c>
      <c r="D127" s="6" t="s">
        <v>752</v>
      </c>
      <c r="E127" s="8"/>
      <c r="F127" s="7" t="s">
        <v>318</v>
      </c>
      <c r="G127" s="7" t="str">
        <f t="shared" si="3"/>
        <v>text</v>
      </c>
      <c r="H127" s="58"/>
      <c r="I127" s="23"/>
      <c r="J127" s="24" t="s">
        <v>850</v>
      </c>
      <c r="L127" s="4"/>
      <c r="M127" s="4"/>
      <c r="N127" s="78"/>
      <c r="O127" s="78"/>
      <c r="P127" s="78" t="str">
        <f t="shared" si="13"/>
        <v>,m010030_temozolomide_flag</v>
      </c>
      <c r="Q127" s="78" t="str">
        <f t="shared" si="14"/>
        <v>TEXT</v>
      </c>
      <c r="R127" s="78" t="str">
        <f t="shared" si="15"/>
        <v/>
      </c>
      <c r="S127" s="78" t="str">
        <f t="shared" si="16"/>
        <v/>
      </c>
      <c r="T127" s="78" t="str">
        <f t="shared" si="17"/>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753</v>
      </c>
      <c r="D128" s="13" t="s">
        <v>754</v>
      </c>
      <c r="E128" s="7"/>
      <c r="F128" s="7" t="s">
        <v>318</v>
      </c>
      <c r="G128" s="7" t="str">
        <f t="shared" si="3"/>
        <v>text</v>
      </c>
      <c r="H128" s="26"/>
      <c r="I128" s="10"/>
      <c r="J128" s="11"/>
      <c r="L128" s="4"/>
      <c r="M128" s="4"/>
      <c r="N128" s="78"/>
      <c r="O128" s="78"/>
      <c r="P128" s="78" t="str">
        <f t="shared" si="13"/>
        <v>,m040010_hugh_jones</v>
      </c>
      <c r="Q128" s="78" t="str">
        <f t="shared" si="14"/>
        <v>TEXT</v>
      </c>
      <c r="R128" s="78" t="str">
        <f t="shared" si="15"/>
        <v/>
      </c>
      <c r="S128" s="78" t="str">
        <f t="shared" si="16"/>
        <v/>
      </c>
      <c r="T128" s="78" t="str">
        <f t="shared" si="17"/>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milscm_2023_010.azn_202310_backup_merge_dpc_ff1.m040010_hugh_jones IS 'Hugh-Jones分類';</v>
      </c>
      <c r="AT128" s="4"/>
      <c r="AU128" s="4"/>
      <c r="AV128" s="4"/>
      <c r="AW128" s="4"/>
      <c r="AX128" s="4"/>
      <c r="AY128" s="4"/>
      <c r="AZ128" s="4"/>
    </row>
    <row r="129" spans="1:52" s="25" customFormat="1">
      <c r="A129" s="4"/>
      <c r="B129" s="21">
        <f t="shared" si="2"/>
        <v>117</v>
      </c>
      <c r="C129" s="13" t="s">
        <v>755</v>
      </c>
      <c r="D129" s="13" t="s">
        <v>756</v>
      </c>
      <c r="E129" s="7"/>
      <c r="F129" s="7" t="s">
        <v>318</v>
      </c>
      <c r="G129" s="7" t="str">
        <f t="shared" si="3"/>
        <v>text</v>
      </c>
      <c r="H129" s="58"/>
      <c r="I129" s="23"/>
      <c r="J129" s="24"/>
      <c r="L129" s="4"/>
      <c r="M129" s="4"/>
      <c r="N129" s="78"/>
      <c r="O129" s="78"/>
      <c r="P129" s="78" t="str">
        <f t="shared" si="13"/>
        <v>,m040020_haien_jushodo</v>
      </c>
      <c r="Q129" s="78" t="str">
        <f t="shared" si="14"/>
        <v>TEXT</v>
      </c>
      <c r="R129" s="78" t="str">
        <f t="shared" si="15"/>
        <v/>
      </c>
      <c r="S129" s="78" t="str">
        <f t="shared" si="16"/>
        <v/>
      </c>
      <c r="T129" s="78" t="str">
        <f t="shared" si="17"/>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milscm_2023_010.azn_202310_backup_merge_dpc_ff1.m040020_haien_jushodo IS '肺炎の重症度分類';</v>
      </c>
      <c r="AT129" s="4"/>
      <c r="AU129" s="4"/>
      <c r="AV129" s="4"/>
      <c r="AW129" s="4"/>
      <c r="AX129" s="4"/>
      <c r="AY129" s="4"/>
      <c r="AZ129" s="4"/>
    </row>
    <row r="130" spans="1:52" s="25" customFormat="1" ht="31.5">
      <c r="A130" s="4"/>
      <c r="B130" s="21">
        <f t="shared" si="2"/>
        <v>118</v>
      </c>
      <c r="C130" s="13" t="s">
        <v>757</v>
      </c>
      <c r="D130" s="13" t="s">
        <v>758</v>
      </c>
      <c r="E130" s="7"/>
      <c r="F130" s="7" t="s">
        <v>318</v>
      </c>
      <c r="G130" s="7" t="str">
        <f t="shared" si="3"/>
        <v>text</v>
      </c>
      <c r="H130" s="58"/>
      <c r="I130" s="23"/>
      <c r="J130" s="24" t="s">
        <v>850</v>
      </c>
      <c r="L130" s="4"/>
      <c r="M130" s="4"/>
      <c r="N130" s="78"/>
      <c r="O130" s="78"/>
      <c r="P130" s="78" t="str">
        <f t="shared" si="13"/>
        <v>,m040020_kanren_haien_flag</v>
      </c>
      <c r="Q130" s="78" t="str">
        <f t="shared" si="14"/>
        <v>TEXT</v>
      </c>
      <c r="R130" s="78" t="str">
        <f t="shared" si="15"/>
        <v/>
      </c>
      <c r="S130" s="78" t="str">
        <f t="shared" si="16"/>
        <v/>
      </c>
      <c r="T130" s="78" t="str">
        <f t="shared" si="17"/>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759</v>
      </c>
      <c r="D131" s="6" t="s">
        <v>760</v>
      </c>
      <c r="E131" s="8"/>
      <c r="F131" s="7" t="s">
        <v>318</v>
      </c>
      <c r="G131" s="7" t="str">
        <f t="shared" si="3"/>
        <v>text</v>
      </c>
      <c r="H131" s="26"/>
      <c r="I131" s="10"/>
      <c r="J131" s="11" t="s">
        <v>851</v>
      </c>
      <c r="L131" s="4"/>
      <c r="M131" s="4"/>
      <c r="N131" s="78"/>
      <c r="O131" s="78"/>
      <c r="P131" s="78" t="str">
        <f t="shared" si="13"/>
        <v>,m040030_emergency_pf</v>
      </c>
      <c r="Q131" s="78" t="str">
        <f t="shared" si="14"/>
        <v>TEXT</v>
      </c>
      <c r="R131" s="78" t="str">
        <f t="shared" si="15"/>
        <v/>
      </c>
      <c r="S131" s="78" t="str">
        <f t="shared" si="16"/>
        <v/>
      </c>
      <c r="T131" s="78" t="str">
        <f t="shared" si="17"/>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milscm_2023_010.azn_202310_backup_merge_dpc_ff1.m040030_emergency_pf IS '救急受診時のP/F比';</v>
      </c>
      <c r="AT131" s="4"/>
      <c r="AU131" s="4"/>
      <c r="AV131" s="4"/>
      <c r="AW131" s="4"/>
      <c r="AX131" s="4"/>
      <c r="AY131" s="4"/>
      <c r="AZ131" s="4"/>
    </row>
    <row r="132" spans="1:52" s="25" customFormat="1" ht="31.5">
      <c r="A132" s="4"/>
      <c r="B132" s="21">
        <f t="shared" si="2"/>
        <v>120</v>
      </c>
      <c r="C132" s="13" t="s">
        <v>761</v>
      </c>
      <c r="D132" s="13" t="s">
        <v>762</v>
      </c>
      <c r="E132" s="7"/>
      <c r="F132" s="7" t="s">
        <v>318</v>
      </c>
      <c r="G132" s="7" t="str">
        <f t="shared" si="3"/>
        <v>text</v>
      </c>
      <c r="H132" s="26"/>
      <c r="I132" s="10"/>
      <c r="J132" s="11" t="s">
        <v>852</v>
      </c>
      <c r="L132" s="4"/>
      <c r="M132" s="4"/>
      <c r="N132" s="78"/>
      <c r="O132" s="78"/>
      <c r="P132" s="78" t="str">
        <f t="shared" si="13"/>
        <v>,m040030_emergency_kokyu</v>
      </c>
      <c r="Q132" s="78" t="str">
        <f t="shared" si="14"/>
        <v>TEXT</v>
      </c>
      <c r="R132" s="78" t="str">
        <f t="shared" si="15"/>
        <v/>
      </c>
      <c r="S132" s="78" t="str">
        <f t="shared" si="16"/>
        <v/>
      </c>
      <c r="T132" s="78" t="str">
        <f t="shared" si="17"/>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milscm_2023_010.azn_202310_backup_merge_dpc_ff1.m040030_emergency_kokyu IS '救急受診時の呼吸補助';</v>
      </c>
      <c r="AT132" s="4"/>
      <c r="AU132" s="4"/>
      <c r="AV132" s="4"/>
      <c r="AW132" s="4"/>
      <c r="AX132" s="4"/>
      <c r="AY132" s="4"/>
      <c r="AZ132" s="4"/>
    </row>
    <row r="133" spans="1:52" s="25" customFormat="1">
      <c r="A133" s="4"/>
      <c r="B133" s="21">
        <f t="shared" si="2"/>
        <v>121</v>
      </c>
      <c r="C133" s="6" t="s">
        <v>763</v>
      </c>
      <c r="D133" s="6" t="s">
        <v>764</v>
      </c>
      <c r="E133" s="8"/>
      <c r="F133" s="7" t="s">
        <v>318</v>
      </c>
      <c r="G133" s="7" t="str">
        <f t="shared" si="3"/>
        <v>text</v>
      </c>
      <c r="H133" s="58"/>
      <c r="I133" s="23"/>
      <c r="J133" s="24" t="s">
        <v>851</v>
      </c>
      <c r="L133" s="4"/>
      <c r="M133" s="4"/>
      <c r="N133" s="78"/>
      <c r="O133" s="78"/>
      <c r="P133" s="78" t="str">
        <f t="shared" si="13"/>
        <v>,m040030_nyusitsu_pf</v>
      </c>
      <c r="Q133" s="78" t="str">
        <f t="shared" si="14"/>
        <v>TEXT</v>
      </c>
      <c r="R133" s="78" t="str">
        <f t="shared" si="15"/>
        <v/>
      </c>
      <c r="S133" s="78" t="str">
        <f t="shared" si="16"/>
        <v/>
      </c>
      <c r="T133" s="78" t="str">
        <f t="shared" si="17"/>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milscm_2023_010.azn_202310_backup_merge_dpc_ff1.m040030_nyusitsu_pf IS '治療室又は病棟入室時のP/F比';</v>
      </c>
      <c r="AT133" s="4"/>
      <c r="AU133" s="4"/>
      <c r="AV133" s="4"/>
      <c r="AW133" s="4"/>
      <c r="AX133" s="4"/>
      <c r="AY133" s="4"/>
      <c r="AZ133" s="4"/>
    </row>
    <row r="134" spans="1:52" s="25" customFormat="1">
      <c r="A134" s="4"/>
      <c r="B134" s="21">
        <f t="shared" si="2"/>
        <v>122</v>
      </c>
      <c r="C134" s="13" t="s">
        <v>765</v>
      </c>
      <c r="D134" s="13" t="s">
        <v>766</v>
      </c>
      <c r="E134" s="7"/>
      <c r="F134" s="7" t="s">
        <v>318</v>
      </c>
      <c r="G134" s="7" t="str">
        <f t="shared" si="3"/>
        <v>text</v>
      </c>
      <c r="H134" s="26"/>
      <c r="I134" s="10"/>
      <c r="J134" s="11" t="s">
        <v>852</v>
      </c>
      <c r="L134" s="4"/>
      <c r="M134" s="4"/>
      <c r="N134" s="78"/>
      <c r="O134" s="78"/>
      <c r="P134" s="78" t="str">
        <f t="shared" si="13"/>
        <v>,m040030_nyusitsu_kokyu</v>
      </c>
      <c r="Q134" s="78" t="str">
        <f t="shared" si="14"/>
        <v>TEXT</v>
      </c>
      <c r="R134" s="78" t="str">
        <f t="shared" si="15"/>
        <v/>
      </c>
      <c r="S134" s="78" t="str">
        <f t="shared" si="16"/>
        <v/>
      </c>
      <c r="T134" s="78" t="str">
        <f t="shared" si="17"/>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milscm_2023_010.azn_202310_backup_merge_dpc_ff1.m040030_nyusitsu_kokyu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767</v>
      </c>
      <c r="D135" s="6" t="s">
        <v>768</v>
      </c>
      <c r="E135" s="8"/>
      <c r="F135" s="7" t="s">
        <v>318</v>
      </c>
      <c r="G135" s="7" t="str">
        <f t="shared" si="3"/>
        <v>text</v>
      </c>
      <c r="H135" s="58"/>
      <c r="I135" s="23"/>
      <c r="J135" s="24" t="s">
        <v>853</v>
      </c>
      <c r="L135" s="4"/>
      <c r="M135" s="4"/>
      <c r="N135" s="78"/>
      <c r="O135" s="78"/>
      <c r="P135" s="78" t="str">
        <f t="shared" si="13"/>
        <v>,m050010_nyha</v>
      </c>
      <c r="Q135" s="78" t="str">
        <f t="shared" si="14"/>
        <v>TEXT</v>
      </c>
      <c r="R135" s="78" t="str">
        <f t="shared" si="15"/>
        <v/>
      </c>
      <c r="S135" s="78" t="str">
        <f t="shared" si="16"/>
        <v/>
      </c>
      <c r="T135" s="78" t="str">
        <f t="shared" si="17"/>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milscm_2023_010.azn_202310_backup_merge_dpc_ff1.m050010_nyha IS 'NYHA心機能分類';</v>
      </c>
      <c r="AT135" s="4"/>
      <c r="AU135" s="4"/>
      <c r="AV135" s="4"/>
      <c r="AW135" s="4"/>
      <c r="AX135" s="4"/>
      <c r="AY135" s="4"/>
      <c r="AZ135" s="4"/>
    </row>
    <row r="136" spans="1:52" s="25" customFormat="1" ht="93.75">
      <c r="A136" s="4"/>
      <c r="B136" s="21">
        <f t="shared" si="2"/>
        <v>124</v>
      </c>
      <c r="C136" s="13" t="s">
        <v>769</v>
      </c>
      <c r="D136" s="13" t="s">
        <v>770</v>
      </c>
      <c r="E136" s="7"/>
      <c r="F136" s="7" t="s">
        <v>318</v>
      </c>
      <c r="G136" s="7" t="str">
        <f t="shared" si="3"/>
        <v>text</v>
      </c>
      <c r="H136" s="26"/>
      <c r="I136" s="10"/>
      <c r="J136" s="11" t="s">
        <v>854</v>
      </c>
      <c r="L136" s="4"/>
      <c r="M136" s="4"/>
      <c r="N136" s="78"/>
      <c r="O136" s="78"/>
      <c r="P136" s="78" t="str">
        <f t="shared" si="13"/>
        <v>,m050010_emergency_nyha</v>
      </c>
      <c r="Q136" s="78" t="str">
        <f t="shared" si="14"/>
        <v>TEXT</v>
      </c>
      <c r="R136" s="78" t="str">
        <f t="shared" si="15"/>
        <v/>
      </c>
      <c r="S136" s="78" t="str">
        <f t="shared" si="16"/>
        <v/>
      </c>
      <c r="T136" s="78" t="str">
        <f t="shared" si="17"/>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milscm_2023_010.azn_202310_backup_merge_dpc_ff1.m050010_emergency_nyha IS '救急受診時のNYHA心機能分類';</v>
      </c>
      <c r="AT136" s="4"/>
      <c r="AU136" s="4"/>
      <c r="AV136" s="4"/>
      <c r="AW136" s="4"/>
      <c r="AX136" s="4"/>
      <c r="AY136" s="4"/>
      <c r="AZ136" s="4"/>
    </row>
    <row r="137" spans="1:52" s="25" customFormat="1" ht="93.75">
      <c r="A137" s="4"/>
      <c r="B137" s="21">
        <f t="shared" si="2"/>
        <v>125</v>
      </c>
      <c r="C137" s="6" t="s">
        <v>771</v>
      </c>
      <c r="D137" s="6" t="s">
        <v>772</v>
      </c>
      <c r="E137" s="8"/>
      <c r="F137" s="7" t="s">
        <v>318</v>
      </c>
      <c r="G137" s="7" t="str">
        <f t="shared" si="3"/>
        <v>text</v>
      </c>
      <c r="H137" s="58"/>
      <c r="I137" s="23"/>
      <c r="J137" s="24" t="s">
        <v>855</v>
      </c>
      <c r="L137" s="4"/>
      <c r="M137" s="4"/>
      <c r="N137" s="78"/>
      <c r="O137" s="78"/>
      <c r="P137" s="78" t="str">
        <f t="shared" si="13"/>
        <v>,m050010_nyusitsu_nyha</v>
      </c>
      <c r="Q137" s="78" t="str">
        <f t="shared" si="14"/>
        <v>TEXT</v>
      </c>
      <c r="R137" s="78" t="str">
        <f t="shared" si="15"/>
        <v/>
      </c>
      <c r="S137" s="78" t="str">
        <f t="shared" si="16"/>
        <v/>
      </c>
      <c r="T137" s="78" t="str">
        <f t="shared" si="17"/>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773</v>
      </c>
      <c r="D138" s="13" t="s">
        <v>774</v>
      </c>
      <c r="E138" s="7"/>
      <c r="F138" s="7" t="s">
        <v>318</v>
      </c>
      <c r="G138" s="7" t="str">
        <f t="shared" si="3"/>
        <v>text</v>
      </c>
      <c r="H138" s="26"/>
      <c r="I138" s="10"/>
      <c r="J138" s="11"/>
      <c r="L138" s="4"/>
      <c r="M138" s="4"/>
      <c r="N138" s="78"/>
      <c r="O138" s="78"/>
      <c r="P138" s="78" t="str">
        <f t="shared" si="13"/>
        <v>,m050020_ccs</v>
      </c>
      <c r="Q138" s="78" t="str">
        <f t="shared" si="14"/>
        <v>TEXT</v>
      </c>
      <c r="R138" s="78" t="str">
        <f t="shared" si="15"/>
        <v/>
      </c>
      <c r="S138" s="78" t="str">
        <f t="shared" si="16"/>
        <v/>
      </c>
      <c r="T138" s="78" t="str">
        <f t="shared" si="17"/>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milscm_2023_010.azn_202310_backup_merge_dpc_ff1.m050020_ccs IS 'CCS分類';</v>
      </c>
      <c r="AT138" s="4"/>
      <c r="AU138" s="4"/>
      <c r="AV138" s="4"/>
      <c r="AW138" s="4"/>
      <c r="AX138" s="4"/>
      <c r="AY138" s="4"/>
      <c r="AZ138" s="4"/>
    </row>
    <row r="139" spans="1:52" s="25" customFormat="1">
      <c r="A139" s="4"/>
      <c r="B139" s="21">
        <f t="shared" si="2"/>
        <v>127</v>
      </c>
      <c r="C139" s="13" t="s">
        <v>775</v>
      </c>
      <c r="D139" s="13" t="s">
        <v>776</v>
      </c>
      <c r="E139" s="7"/>
      <c r="F139" s="7" t="s">
        <v>318</v>
      </c>
      <c r="G139" s="7" t="str">
        <f t="shared" si="3"/>
        <v>text</v>
      </c>
      <c r="H139" s="58"/>
      <c r="I139" s="23"/>
      <c r="J139" s="24"/>
      <c r="L139" s="4"/>
      <c r="M139" s="4"/>
      <c r="N139" s="78"/>
      <c r="O139" s="78"/>
      <c r="P139" s="78" t="str">
        <f t="shared" si="13"/>
        <v>,m050030_killip</v>
      </c>
      <c r="Q139" s="78" t="str">
        <f t="shared" si="14"/>
        <v>TEXT</v>
      </c>
      <c r="R139" s="78" t="str">
        <f t="shared" si="15"/>
        <v/>
      </c>
      <c r="S139" s="78" t="str">
        <f t="shared" si="16"/>
        <v/>
      </c>
      <c r="T139" s="78" t="str">
        <f t="shared" si="17"/>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milscm_2023_010.azn_202310_backup_merge_dpc_ff1.m050030_killip IS 'Killip分類';</v>
      </c>
      <c r="AT139" s="4"/>
      <c r="AU139" s="4"/>
      <c r="AV139" s="4"/>
      <c r="AW139" s="4"/>
      <c r="AX139" s="4"/>
      <c r="AY139" s="4"/>
      <c r="AZ139" s="4"/>
    </row>
    <row r="140" spans="1:52" s="25" customFormat="1" ht="37.5">
      <c r="A140" s="4"/>
      <c r="B140" s="21">
        <f t="shared" si="2"/>
        <v>128</v>
      </c>
      <c r="C140" s="6" t="s">
        <v>777</v>
      </c>
      <c r="D140" s="6" t="s">
        <v>778</v>
      </c>
      <c r="E140" s="8"/>
      <c r="F140" s="7" t="s">
        <v>318</v>
      </c>
      <c r="G140" s="7" t="str">
        <f t="shared" si="3"/>
        <v>text</v>
      </c>
      <c r="H140" s="26"/>
      <c r="I140" s="10"/>
      <c r="J140" s="11" t="s">
        <v>856</v>
      </c>
      <c r="L140" s="4"/>
      <c r="M140" s="4"/>
      <c r="N140" s="78"/>
      <c r="O140" s="78"/>
      <c r="P140" s="78" t="str">
        <f t="shared" si="13"/>
        <v>,m050040_ketsuatsu</v>
      </c>
      <c r="Q140" s="78" t="str">
        <f t="shared" si="14"/>
        <v>TEXT</v>
      </c>
      <c r="R140" s="78" t="str">
        <f t="shared" si="15"/>
        <v/>
      </c>
      <c r="S140" s="78" t="str">
        <f t="shared" si="16"/>
        <v/>
      </c>
      <c r="T140" s="78" t="str">
        <f t="shared" si="17"/>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milscm_2023_010.azn_202310_backup_merge_dpc_ff1.m050040_ketsuatsu IS '収縮期血圧';</v>
      </c>
      <c r="AT140" s="4"/>
      <c r="AU140" s="4"/>
      <c r="AV140" s="4"/>
      <c r="AW140" s="4"/>
      <c r="AX140" s="4"/>
      <c r="AY140" s="4"/>
      <c r="AZ140" s="4"/>
    </row>
    <row r="141" spans="1:52" s="25" customFormat="1" ht="75">
      <c r="A141" s="4"/>
      <c r="B141" s="21">
        <f t="shared" si="2"/>
        <v>129</v>
      </c>
      <c r="C141" s="13" t="s">
        <v>779</v>
      </c>
      <c r="D141" s="13" t="s">
        <v>780</v>
      </c>
      <c r="E141" s="7"/>
      <c r="F141" s="7" t="s">
        <v>318</v>
      </c>
      <c r="G141" s="7" t="str">
        <f t="shared" si="3"/>
        <v>text</v>
      </c>
      <c r="H141" s="58"/>
      <c r="I141" s="23"/>
      <c r="J141" s="24" t="s">
        <v>857</v>
      </c>
      <c r="L141" s="4"/>
      <c r="M141" s="4"/>
      <c r="N141" s="78"/>
      <c r="O141" s="78"/>
      <c r="P141" s="78" t="str">
        <f t="shared" si="13"/>
        <v>,m050050_acuteMI</v>
      </c>
      <c r="Q141" s="78" t="str">
        <f t="shared" si="14"/>
        <v>TEXT</v>
      </c>
      <c r="R141" s="78" t="str">
        <f t="shared" si="15"/>
        <v/>
      </c>
      <c r="S141" s="78" t="str">
        <f t="shared" si="16"/>
        <v/>
      </c>
      <c r="T141" s="78" t="str">
        <f t="shared" si="17"/>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milscm_2023_010.azn_202310_backup_merge_dpc_ff1.m050050_acuteMI IS '急性心筋梗塞の発症時期';</v>
      </c>
      <c r="AT141" s="4"/>
      <c r="AU141" s="4"/>
      <c r="AV141" s="4"/>
      <c r="AW141" s="4"/>
      <c r="AX141" s="4"/>
      <c r="AY141" s="4"/>
      <c r="AZ141" s="4"/>
    </row>
    <row r="142" spans="1:52" s="25" customFormat="1" ht="75">
      <c r="A142" s="4"/>
      <c r="B142" s="21">
        <f t="shared" si="2"/>
        <v>130</v>
      </c>
      <c r="C142" s="13" t="s">
        <v>781</v>
      </c>
      <c r="D142" s="13" t="s">
        <v>782</v>
      </c>
      <c r="E142" s="7"/>
      <c r="F142" s="7" t="s">
        <v>318</v>
      </c>
      <c r="G142" s="7" t="str">
        <f t="shared" si="3"/>
        <v>text</v>
      </c>
      <c r="H142" s="58"/>
      <c r="I142" s="23"/>
      <c r="J142" s="24" t="s">
        <v>858</v>
      </c>
      <c r="L142" s="4"/>
      <c r="M142" s="4"/>
      <c r="N142" s="78"/>
      <c r="O142" s="78"/>
      <c r="P142" s="78" t="str">
        <f t="shared" si="13"/>
        <v>,m050060_nyuin_kusyutsuritsu</v>
      </c>
      <c r="Q142" s="78" t="str">
        <f t="shared" si="14"/>
        <v>TEXT</v>
      </c>
      <c r="R142" s="78" t="str">
        <f t="shared" si="15"/>
        <v/>
      </c>
      <c r="S142" s="78" t="str">
        <f t="shared" si="16"/>
        <v/>
      </c>
      <c r="T142" s="78" t="str">
        <f t="shared" si="17"/>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milscm_2023_010.azn_202310_backup_merge_dpc_ff1.m050060_nyuin_kusyutsuritsu IS '入院時左室駆出率';</v>
      </c>
      <c r="AT142" s="4"/>
      <c r="AU142" s="4"/>
      <c r="AV142" s="4"/>
      <c r="AW142" s="4"/>
      <c r="AX142" s="4"/>
      <c r="AY142" s="4"/>
      <c r="AZ142" s="4"/>
    </row>
    <row r="143" spans="1:52" s="25" customFormat="1" ht="56.25">
      <c r="A143" s="4"/>
      <c r="B143" s="21">
        <f t="shared" si="2"/>
        <v>131</v>
      </c>
      <c r="C143" s="13" t="s">
        <v>783</v>
      </c>
      <c r="D143" s="13" t="s">
        <v>784</v>
      </c>
      <c r="E143" s="7"/>
      <c r="F143" s="7" t="s">
        <v>318</v>
      </c>
      <c r="G143" s="7" t="str">
        <f t="shared" si="3"/>
        <v>text</v>
      </c>
      <c r="H143" s="58"/>
      <c r="I143" s="23"/>
      <c r="J143" s="24" t="s">
        <v>859</v>
      </c>
      <c r="L143" s="4"/>
      <c r="M143" s="4"/>
      <c r="N143" s="78"/>
      <c r="O143" s="78"/>
      <c r="P143" s="78" t="str">
        <f t="shared" si="13"/>
        <v>,m050070_stanford_ab</v>
      </c>
      <c r="Q143" s="78" t="str">
        <f t="shared" si="14"/>
        <v>TEXT</v>
      </c>
      <c r="R143" s="78" t="str">
        <f t="shared" si="15"/>
        <v/>
      </c>
      <c r="S143" s="78" t="str">
        <f t="shared" si="16"/>
        <v/>
      </c>
      <c r="T143" s="78" t="str">
        <f t="shared" si="17"/>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milscm_2023_010.azn_202310_backup_merge_dpc_ff1.m050070_stanford_ab IS 'Stanford A/B型';</v>
      </c>
      <c r="AT143" s="4"/>
      <c r="AU143" s="4"/>
      <c r="AV143" s="4"/>
      <c r="AW143" s="4"/>
      <c r="AX143" s="4"/>
      <c r="AY143" s="4"/>
      <c r="AZ143" s="4"/>
    </row>
    <row r="144" spans="1:52" s="25" customFormat="1" ht="37.5">
      <c r="A144" s="4"/>
      <c r="B144" s="21">
        <f t="shared" si="2"/>
        <v>132</v>
      </c>
      <c r="C144" s="6" t="s">
        <v>785</v>
      </c>
      <c r="D144" s="6" t="s">
        <v>786</v>
      </c>
      <c r="E144" s="8"/>
      <c r="F144" s="7" t="s">
        <v>318</v>
      </c>
      <c r="G144" s="7" t="str">
        <f t="shared" si="3"/>
        <v>text</v>
      </c>
      <c r="H144" s="26"/>
      <c r="I144" s="10"/>
      <c r="J144" s="11" t="s">
        <v>860</v>
      </c>
      <c r="L144" s="4"/>
      <c r="M144" s="4"/>
      <c r="N144" s="78"/>
      <c r="O144" s="78"/>
      <c r="P144" s="78" t="str">
        <f t="shared" si="13"/>
        <v>,m060010_kankohen_child_pugh</v>
      </c>
      <c r="Q144" s="78" t="str">
        <f t="shared" si="14"/>
        <v>TEXT</v>
      </c>
      <c r="R144" s="78" t="str">
        <f t="shared" si="15"/>
        <v/>
      </c>
      <c r="S144" s="78" t="str">
        <f t="shared" si="16"/>
        <v/>
      </c>
      <c r="T144" s="78" t="str">
        <f t="shared" si="17"/>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milscm_2023_010.azn_202310_backup_merge_dpc_ff1.m060010_kankohen_child_pugh IS '肝硬変のChild-Pugh分類';</v>
      </c>
      <c r="AT144" s="4"/>
      <c r="AU144" s="4"/>
      <c r="AV144" s="4"/>
      <c r="AW144" s="4"/>
      <c r="AX144" s="4"/>
      <c r="AY144" s="4"/>
      <c r="AZ144" s="4"/>
    </row>
    <row r="145" spans="1:52" s="25" customFormat="1" ht="31.5">
      <c r="A145" s="4"/>
      <c r="B145" s="21">
        <f t="shared" si="2"/>
        <v>133</v>
      </c>
      <c r="C145" s="13" t="s">
        <v>787</v>
      </c>
      <c r="D145" s="13" t="s">
        <v>788</v>
      </c>
      <c r="E145" s="7"/>
      <c r="F145" s="7" t="s">
        <v>318</v>
      </c>
      <c r="G145" s="7" t="str">
        <f t="shared" si="3"/>
        <v>text</v>
      </c>
      <c r="H145" s="26"/>
      <c r="I145" s="10"/>
      <c r="J145" s="11"/>
      <c r="L145" s="4"/>
      <c r="M145" s="4"/>
      <c r="N145" s="78"/>
      <c r="O145" s="78"/>
      <c r="P145" s="78" t="str">
        <f t="shared" si="13"/>
        <v>,m060020_kyuseisuien_jushodo</v>
      </c>
      <c r="Q145" s="78" t="str">
        <f t="shared" si="14"/>
        <v>TEXT</v>
      </c>
      <c r="R145" s="78" t="str">
        <f t="shared" si="15"/>
        <v/>
      </c>
      <c r="S145" s="78" t="str">
        <f t="shared" si="16"/>
        <v/>
      </c>
      <c r="T145" s="78" t="str">
        <f t="shared" si="17"/>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milscm_2023_010.azn_202310_backup_merge_dpc_ff1.m060020_kyuseisuien_jushodo IS '急性膵炎の重症度分類';</v>
      </c>
      <c r="AT145" s="4"/>
      <c r="AU145" s="4"/>
      <c r="AV145" s="4"/>
      <c r="AW145" s="4"/>
      <c r="AX145" s="4"/>
      <c r="AY145" s="4"/>
      <c r="AZ145" s="4"/>
    </row>
    <row r="146" spans="1:52" s="25" customFormat="1" ht="31.5">
      <c r="A146" s="4"/>
      <c r="B146" s="21">
        <f t="shared" si="2"/>
        <v>134</v>
      </c>
      <c r="C146" s="6" t="s">
        <v>789</v>
      </c>
      <c r="D146" s="6" t="s">
        <v>790</v>
      </c>
      <c r="E146" s="8"/>
      <c r="F146" s="7" t="s">
        <v>318</v>
      </c>
      <c r="G146" s="7" t="str">
        <f t="shared" si="3"/>
        <v>text</v>
      </c>
      <c r="H146" s="58"/>
      <c r="I146" s="23"/>
      <c r="J146" s="24" t="s">
        <v>850</v>
      </c>
      <c r="L146" s="4"/>
      <c r="M146" s="4"/>
      <c r="N146" s="78"/>
      <c r="O146" s="78"/>
      <c r="P146" s="78" t="str">
        <f t="shared" si="13"/>
        <v>,m070010_riumachi_flag</v>
      </c>
      <c r="Q146" s="78" t="str">
        <f t="shared" si="14"/>
        <v>TEXT</v>
      </c>
      <c r="R146" s="78" t="str">
        <f t="shared" si="15"/>
        <v/>
      </c>
      <c r="S146" s="78" t="str">
        <f t="shared" si="16"/>
        <v/>
      </c>
      <c r="T146" s="78" t="str">
        <f t="shared" si="17"/>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milscm_2023_010.azn_202310_backup_merge_dpc_ff1.m070010_riumachi_flag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791</v>
      </c>
      <c r="D147" s="13" t="s">
        <v>792</v>
      </c>
      <c r="E147" s="7"/>
      <c r="F147" s="7" t="s">
        <v>318</v>
      </c>
      <c r="G147" s="7" t="str">
        <f t="shared" si="3"/>
        <v>text</v>
      </c>
      <c r="H147" s="26"/>
      <c r="I147" s="10"/>
      <c r="J147" s="11" t="s">
        <v>861</v>
      </c>
      <c r="L147" s="4"/>
      <c r="M147" s="4"/>
      <c r="N147" s="78"/>
      <c r="O147" s="78"/>
      <c r="P147" s="78" t="str">
        <f t="shared" si="13"/>
        <v>,m120010_nyuin_bunben_flag</v>
      </c>
      <c r="Q147" s="78" t="str">
        <f t="shared" si="14"/>
        <v>TEXT</v>
      </c>
      <c r="R147" s="78" t="str">
        <f t="shared" si="15"/>
        <v/>
      </c>
      <c r="S147" s="78" t="str">
        <f t="shared" si="16"/>
        <v/>
      </c>
      <c r="T147" s="78" t="str">
        <f t="shared" si="17"/>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milscm_2023_010.azn_202310_backup_merge_dpc_ff1.m120010_nyuin_bunben_flag IS '入院周辺の分娩の有無';</v>
      </c>
      <c r="AT147" s="4"/>
      <c r="AU147" s="4"/>
      <c r="AV147" s="4"/>
      <c r="AW147" s="4"/>
      <c r="AX147" s="4"/>
      <c r="AY147" s="4"/>
      <c r="AZ147" s="4"/>
    </row>
    <row r="148" spans="1:52" s="25" customFormat="1" ht="31.5">
      <c r="A148" s="4"/>
      <c r="B148" s="21">
        <f t="shared" si="2"/>
        <v>136</v>
      </c>
      <c r="C148" s="6" t="s">
        <v>793</v>
      </c>
      <c r="D148" s="6" t="s">
        <v>794</v>
      </c>
      <c r="E148" s="8"/>
      <c r="F148" s="7" t="s">
        <v>318</v>
      </c>
      <c r="G148" s="7" t="str">
        <f t="shared" si="3"/>
        <v>text</v>
      </c>
      <c r="H148" s="58"/>
      <c r="I148" s="23"/>
      <c r="J148" s="24" t="s">
        <v>862</v>
      </c>
      <c r="L148" s="4"/>
      <c r="M148" s="4"/>
      <c r="N148" s="78"/>
      <c r="O148" s="78"/>
      <c r="P148" s="78" t="str">
        <f t="shared" si="13"/>
        <v>,m120010_bunben_shukketsuryo</v>
      </c>
      <c r="Q148" s="78" t="str">
        <f t="shared" si="14"/>
        <v>TEXT</v>
      </c>
      <c r="R148" s="78" t="str">
        <f t="shared" si="15"/>
        <v/>
      </c>
      <c r="S148" s="78" t="str">
        <f t="shared" si="16"/>
        <v/>
      </c>
      <c r="T148" s="78" t="str">
        <f t="shared" si="17"/>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milscm_2023_010.azn_202310_backup_merge_dpc_ff1.m120010_bunben_shukketsuryo IS '分娩時出血量';</v>
      </c>
      <c r="AT148" s="4"/>
      <c r="AU148" s="4"/>
      <c r="AV148" s="4"/>
      <c r="AW148" s="4"/>
      <c r="AX148" s="4"/>
      <c r="AY148" s="4"/>
      <c r="AZ148" s="4"/>
    </row>
    <row r="149" spans="1:52" s="25" customFormat="1">
      <c r="A149" s="4"/>
      <c r="B149" s="21">
        <f t="shared" si="2"/>
        <v>137</v>
      </c>
      <c r="C149" s="13" t="s">
        <v>795</v>
      </c>
      <c r="D149" s="13" t="s">
        <v>796</v>
      </c>
      <c r="E149" s="7"/>
      <c r="F149" s="7" t="s">
        <v>318</v>
      </c>
      <c r="G149" s="7" t="str">
        <f t="shared" si="3"/>
        <v>text</v>
      </c>
      <c r="H149" s="26"/>
      <c r="I149" s="10"/>
      <c r="J149" s="11" t="s">
        <v>863</v>
      </c>
      <c r="L149" s="4"/>
      <c r="M149" s="4"/>
      <c r="N149" s="78"/>
      <c r="O149" s="78"/>
      <c r="P149" s="78" t="str">
        <f t="shared" si="13"/>
        <v>,m160010_burnindex</v>
      </c>
      <c r="Q149" s="78" t="str">
        <f t="shared" si="14"/>
        <v>TEXT</v>
      </c>
      <c r="R149" s="78" t="str">
        <f t="shared" si="15"/>
        <v/>
      </c>
      <c r="S149" s="78" t="str">
        <f t="shared" si="16"/>
        <v/>
      </c>
      <c r="T149" s="78" t="str">
        <f t="shared" si="17"/>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milscm_2023_010.azn_202310_backup_merge_dpc_ff1.m160010_burnindex IS 'BurnIndex';</v>
      </c>
      <c r="AT149" s="4"/>
      <c r="AU149" s="4"/>
      <c r="AV149" s="4"/>
      <c r="AW149" s="4"/>
      <c r="AX149" s="4"/>
      <c r="AY149" s="4"/>
      <c r="AZ149" s="4"/>
    </row>
    <row r="150" spans="1:52" s="25" customFormat="1">
      <c r="A150" s="4"/>
      <c r="B150" s="21">
        <f t="shared" si="2"/>
        <v>138</v>
      </c>
      <c r="C150" s="6" t="s">
        <v>797</v>
      </c>
      <c r="D150" s="6" t="s">
        <v>798</v>
      </c>
      <c r="E150" s="8"/>
      <c r="F150" s="7" t="s">
        <v>318</v>
      </c>
      <c r="G150" s="7" t="str">
        <f t="shared" si="3"/>
        <v>text</v>
      </c>
      <c r="H150" s="58"/>
      <c r="I150" s="23"/>
      <c r="J150" s="24"/>
      <c r="L150" s="4"/>
      <c r="M150" s="4"/>
      <c r="N150" s="78"/>
      <c r="O150" s="78"/>
      <c r="P150" s="78" t="str">
        <f t="shared" si="13"/>
        <v>,m170010_nyuin_gaf</v>
      </c>
      <c r="Q150" s="78" t="str">
        <f t="shared" si="14"/>
        <v>TEXT</v>
      </c>
      <c r="R150" s="78" t="str">
        <f t="shared" si="15"/>
        <v/>
      </c>
      <c r="S150" s="78" t="str">
        <f t="shared" si="16"/>
        <v/>
      </c>
      <c r="T150" s="78" t="str">
        <f t="shared" si="17"/>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milscm_2023_010.azn_202310_backup_merge_dpc_ff1.m170010_nyuin_gaf IS '入院時GAF尺度';</v>
      </c>
      <c r="AT150" s="4"/>
      <c r="AU150" s="4"/>
      <c r="AV150" s="4"/>
      <c r="AW150" s="4"/>
      <c r="AX150" s="4"/>
      <c r="AY150" s="4"/>
      <c r="AZ150" s="4"/>
    </row>
    <row r="151" spans="1:52" s="25" customFormat="1" ht="37.5">
      <c r="A151" s="4"/>
      <c r="B151" s="21">
        <f t="shared" si="2"/>
        <v>139</v>
      </c>
      <c r="C151" s="13" t="s">
        <v>799</v>
      </c>
      <c r="D151" s="13" t="s">
        <v>800</v>
      </c>
      <c r="E151" s="7"/>
      <c r="F151" s="7" t="s">
        <v>318</v>
      </c>
      <c r="G151" s="7" t="str">
        <f t="shared" si="3"/>
        <v>text</v>
      </c>
      <c r="H151" s="26"/>
      <c r="I151" s="10"/>
      <c r="J151" s="11" t="s">
        <v>864</v>
      </c>
      <c r="L151" s="4"/>
      <c r="M151" s="4"/>
      <c r="N151" s="78"/>
      <c r="O151" s="78"/>
      <c r="P151" s="78" t="str">
        <f t="shared" si="13"/>
        <v>,m170020_mental_nyuin_keitai</v>
      </c>
      <c r="Q151" s="78" t="str">
        <f t="shared" si="14"/>
        <v>TEXT</v>
      </c>
      <c r="R151" s="78" t="str">
        <f t="shared" si="15"/>
        <v/>
      </c>
      <c r="S151" s="78" t="str">
        <f t="shared" si="16"/>
        <v/>
      </c>
      <c r="T151" s="78" t="str">
        <f t="shared" si="17"/>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milscm_2023_010.azn_202310_backup_merge_dpc_ff1.m170020_mental_nyuin_keitai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801</v>
      </c>
      <c r="D152" s="13" t="s">
        <v>802</v>
      </c>
      <c r="E152" s="7"/>
      <c r="F152" s="7" t="s">
        <v>318</v>
      </c>
      <c r="G152" s="7" t="str">
        <f t="shared" si="3"/>
        <v>text</v>
      </c>
      <c r="H152" s="58"/>
      <c r="I152" s="23"/>
      <c r="J152" s="24" t="s">
        <v>865</v>
      </c>
      <c r="L152" s="4"/>
      <c r="M152" s="4"/>
      <c r="N152" s="78"/>
      <c r="O152" s="78"/>
      <c r="P152" s="78" t="str">
        <f t="shared" si="13"/>
        <v>,m170020_mental_kakuri_days</v>
      </c>
      <c r="Q152" s="78" t="str">
        <f t="shared" si="14"/>
        <v>TEXT</v>
      </c>
      <c r="R152" s="78" t="str">
        <f t="shared" si="15"/>
        <v/>
      </c>
      <c r="S152" s="78" t="str">
        <f t="shared" si="16"/>
        <v/>
      </c>
      <c r="T152" s="78" t="str">
        <f t="shared" si="17"/>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milscm_2023_010.azn_202310_backup_merge_dpc_ff1.m170020_mental_kakuri_days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803</v>
      </c>
      <c r="D153" s="13" t="s">
        <v>804</v>
      </c>
      <c r="E153" s="7"/>
      <c r="F153" s="7" t="s">
        <v>318</v>
      </c>
      <c r="G153" s="7" t="str">
        <f t="shared" si="3"/>
        <v>text</v>
      </c>
      <c r="H153" s="26"/>
      <c r="I153" s="10"/>
      <c r="J153" s="11" t="s">
        <v>865</v>
      </c>
      <c r="L153" s="4"/>
      <c r="M153" s="4"/>
      <c r="N153" s="78"/>
      <c r="O153" s="78"/>
      <c r="P153" s="78" t="str">
        <f t="shared" si="13"/>
        <v>,m170020_mental_kosoku_days</v>
      </c>
      <c r="Q153" s="78" t="str">
        <f t="shared" si="14"/>
        <v>TEXT</v>
      </c>
      <c r="R153" s="78" t="str">
        <f t="shared" si="15"/>
        <v/>
      </c>
      <c r="S153" s="78" t="str">
        <f t="shared" si="16"/>
        <v/>
      </c>
      <c r="T153" s="78" t="str">
        <f t="shared" si="17"/>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milscm_2023_010.azn_202310_backup_merge_dpc_ff1.m170020_mental_kosoku_days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805</v>
      </c>
      <c r="D154" s="13" t="s">
        <v>806</v>
      </c>
      <c r="E154" s="7"/>
      <c r="F154" s="7" t="s">
        <v>318</v>
      </c>
      <c r="G154" s="7" t="str">
        <f t="shared" si="3"/>
        <v>text</v>
      </c>
      <c r="H154" s="58"/>
      <c r="I154" s="23"/>
      <c r="J154" s="24" t="s">
        <v>866</v>
      </c>
      <c r="L154" s="4"/>
      <c r="M154" s="4"/>
      <c r="N154" s="78"/>
      <c r="O154" s="78"/>
      <c r="P154" s="78" t="str">
        <f t="shared" si="13"/>
        <v>,mzz0010_other_jusho_no</v>
      </c>
      <c r="Q154" s="78" t="str">
        <f t="shared" si="14"/>
        <v>TEXT</v>
      </c>
      <c r="R154" s="78" t="str">
        <f t="shared" si="15"/>
        <v/>
      </c>
      <c r="S154" s="78" t="str">
        <f t="shared" si="16"/>
        <v/>
      </c>
      <c r="T154" s="78" t="str">
        <f t="shared" si="17"/>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milscm_2023_010.azn_202310_backup_merge_dpc_ff1.mzz0010_other_jusho_no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807</v>
      </c>
      <c r="D155" s="57" t="s">
        <v>808</v>
      </c>
      <c r="E155" s="56"/>
      <c r="F155" s="56" t="s">
        <v>318</v>
      </c>
      <c r="G155" s="56" t="str">
        <f t="shared" si="3"/>
        <v>text</v>
      </c>
      <c r="H155" s="59"/>
      <c r="I155" s="60"/>
      <c r="J155" s="61" t="s">
        <v>866</v>
      </c>
      <c r="L155" s="4"/>
      <c r="M155" s="4"/>
      <c r="N155" s="78"/>
      <c r="O155" s="78"/>
      <c r="P155" s="78" t="str">
        <f t="shared" si="13"/>
        <v>,mzz0010_other_jusho_name</v>
      </c>
      <c r="Q155" s="78" t="str">
        <f t="shared" si="14"/>
        <v>TEXT</v>
      </c>
      <c r="R155" s="78" t="str">
        <f t="shared" si="15"/>
        <v/>
      </c>
      <c r="S155" s="78" t="str">
        <f t="shared" si="16"/>
        <v/>
      </c>
      <c r="T155" s="78" t="str">
        <f t="shared" si="17"/>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milscm_2023_010.azn_202310_backup_merge_dpc_ff1.mzz0010_other_jusho_name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900-000000000000}"/>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ENT_01_C1-07</v>
      </c>
      <c r="E6" s="239"/>
      <c r="F6" s="239"/>
      <c r="G6" s="239"/>
      <c r="H6" s="239"/>
      <c r="I6" s="239"/>
      <c r="J6" s="240"/>
    </row>
    <row r="7" spans="1:45">
      <c r="B7" s="228" t="s">
        <v>115</v>
      </c>
      <c r="C7" s="229"/>
      <c r="D7" s="230" t="s">
        <v>315</v>
      </c>
      <c r="E7" s="231"/>
      <c r="F7" s="231"/>
      <c r="G7" s="231"/>
      <c r="H7" s="231"/>
      <c r="I7" s="231"/>
      <c r="J7" s="232"/>
    </row>
    <row r="8" spans="1:45">
      <c r="B8" s="228" t="s">
        <v>116</v>
      </c>
      <c r="C8" s="229"/>
      <c r="D8" s="230" t="str">
        <f>エンティティ一覧!AE2&amp;"_"&amp;D5&amp;"_merge_dpc_ff1_a006040"</f>
        <v>azn_202310_backup_merge_dpc_ff1_a006040</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milscm_2023_010.azn_202310_backup_merge_dpc_ff1_a006040;</v>
      </c>
      <c r="O10" s="78"/>
      <c r="P10" s="78"/>
      <c r="Q10" s="78"/>
      <c r="R10" s="78"/>
      <c r="S10" s="78"/>
      <c r="T10" s="78"/>
      <c r="AJ10" s="78" t="str">
        <f>"ALTER TABLE ONLY "&amp;エンティティ一覧!$O$2&amp;"."&amp;D$8</f>
        <v>ALTER TABLE ONLY milscm_2023_010.azn_202310_backup_merge_dpc_ff1_a006040</v>
      </c>
      <c r="AS10" s="78" t="str">
        <f>"ALTER TABLE "&amp;エンティティ一覧!$O$2&amp;"."&amp;D$8&amp;" OWNER TO pgmisgrp1;"</f>
        <v>ALTER TABLE milscm_2023_010.azn_202310_backup_merge_dpc_ff1_a006040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milscm_2023_010.azn_202310_backup_merge_dpc_ff1_a006040</v>
      </c>
      <c r="O11" s="78"/>
      <c r="P11" s="78"/>
      <c r="Q11" s="78"/>
      <c r="R11" s="78"/>
      <c r="S11" s="78"/>
      <c r="T11" s="78"/>
      <c r="AJ11" s="78" t="str">
        <f>"ADD CONSTRAINT "&amp;D$8&amp;"_pkey PRIMARY KEY"</f>
        <v>ADD CONSTRAINT azn_202310_backup_merge_dpc_ff1_a006040_pkey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milscm_2023_010.azn_202310_backup_merge_dpc_ff1_a006040 IS 'バックアップ_DPC調査データ_様式1_診断情報_併存症';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milscm_2023_010.azn_202310_backup_merge_dpc_ff1_a006040.torikomi_ym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milscm_2023_010.azn_202310_backup_merge_dpc_ff1_a006040.mil_karute_id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milscm_2023_010.azn_202310_backup_merge_dpc_ff1_a006040.facility_id IS '施設ID';</v>
      </c>
    </row>
    <row r="16" spans="1:45" s="25" customFormat="1" ht="93.75">
      <c r="B16" s="21">
        <f t="shared" si="2"/>
        <v>4</v>
      </c>
      <c r="C16" s="6" t="s">
        <v>869</v>
      </c>
      <c r="D16" s="6" t="s">
        <v>207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milscm_2023_010.azn_202310_backup_merge_dpc_ff1_a006040.shinryo_ym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milscm_2023_010.azn_202310_backup_merge_dpc_ff1_a006040.data_type IS 'データ種別';</v>
      </c>
    </row>
    <row r="18" spans="1:52" s="25" customFormat="1">
      <c r="B18" s="21">
        <f t="shared" si="2"/>
        <v>6</v>
      </c>
      <c r="C18" s="6" t="s">
        <v>870</v>
      </c>
      <c r="D18" s="6" t="s">
        <v>211</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milscm_2023_010.azn_202310_backup_merge_dpc_ff1_a006040.shikibetsu_no IS 'データ識別番号';</v>
      </c>
    </row>
    <row r="19" spans="1:52" s="25" customFormat="1">
      <c r="B19" s="21">
        <f t="shared" si="2"/>
        <v>7</v>
      </c>
      <c r="C19" s="13" t="s">
        <v>871</v>
      </c>
      <c r="D19" s="13" t="s">
        <v>156</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milscm_2023_010.azn_202310_backup_merge_dpc_ff1_a006040.nyuin_ymd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milscm_2023_010.azn_202310_backup_merge_dpc_ff1_a006040.times_no IS '回数管理番号';</v>
      </c>
    </row>
    <row r="21" spans="1:52" s="25" customFormat="1">
      <c r="A21" s="4"/>
      <c r="B21" s="21">
        <f t="shared" si="2"/>
        <v>9</v>
      </c>
      <c r="C21" s="13" t="s">
        <v>568</v>
      </c>
      <c r="D21" s="13" t="s">
        <v>569</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milscm_2023_010.azn_202310_backup_merge_dpc_ff1_a006040.sokatsu_shinryo_no IS '統括診療情報番号';</v>
      </c>
    </row>
    <row r="22" spans="1:52" s="25" customFormat="1">
      <c r="A22" s="4"/>
      <c r="B22" s="21">
        <f t="shared" si="2"/>
        <v>10</v>
      </c>
      <c r="C22" s="6" t="s">
        <v>359</v>
      </c>
      <c r="D22" s="6" t="s">
        <v>360</v>
      </c>
      <c r="E22" s="8" t="s">
        <v>127</v>
      </c>
      <c r="F22" s="7" t="s">
        <v>868</v>
      </c>
      <c r="G22" s="7" t="str">
        <f t="shared" si="3"/>
        <v>text</v>
      </c>
      <c r="H22" s="26" t="s">
        <v>882</v>
      </c>
      <c r="I22" s="10" t="s">
        <v>127</v>
      </c>
      <c r="J22" s="11" t="s">
        <v>883</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milscm_2023_010.azn_202310_backup_merge_dpc_ff1_a006040.code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milscm_2023_010.azn_202310_backup_merge_dpc_ff1_a006040.version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milscm_2023_010.azn_202310_backup_merge_dpc_ff1_a006040.number IS '連番';</v>
      </c>
    </row>
    <row r="25" spans="1:52" s="25" customFormat="1">
      <c r="A25" s="4"/>
      <c r="B25" s="21">
        <f t="shared" si="2"/>
        <v>13</v>
      </c>
      <c r="C25" s="13" t="s">
        <v>666</v>
      </c>
      <c r="D25" s="13" t="s">
        <v>874</v>
      </c>
      <c r="E25" s="7"/>
      <c r="F25" s="7" t="s">
        <v>868</v>
      </c>
      <c r="G25" s="7" t="str">
        <f t="shared" si="3"/>
        <v>text</v>
      </c>
      <c r="H25" s="58"/>
      <c r="I25" s="23"/>
      <c r="J25" s="24" t="s">
        <v>884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milscm_2023_010.azn_202310_backup_merge_dpc_ff1_a006040.icd10_code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milscm_2023_010.azn_202310_backup_merge_dpc_ff1_a006040.shobyo_code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milscm_2023_010.azn_202310_backup_merge_dpc_ff1_a006040.shushoku_code1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milscm_2023_010.azn_202310_backup_merge_dpc_ff1_a006040.shushoku_code2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milscm_2023_010.azn_202310_backup_merge_dpc_ff1_a006040.shushoku_code3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milscm_2023_010.azn_202310_backup_merge_dpc_ff1_a006040.shushoku_code4 IS '修飾語コード4';</v>
      </c>
    </row>
    <row r="31" spans="1:52" s="25" customFormat="1" ht="19.5" thickBot="1">
      <c r="A31" s="4"/>
      <c r="B31" s="27">
        <f>ROW()-12</f>
        <v>19</v>
      </c>
      <c r="C31" s="57" t="s">
        <v>880</v>
      </c>
      <c r="D31" s="57" t="s">
        <v>881</v>
      </c>
      <c r="E31" s="56"/>
      <c r="F31" s="56" t="s">
        <v>868</v>
      </c>
      <c r="G31" s="56" t="str">
        <f t="shared" si="3"/>
        <v>text</v>
      </c>
      <c r="H31" s="59"/>
      <c r="I31" s="60"/>
      <c r="J31" s="64" t="s">
        <v>885</v>
      </c>
      <c r="N31" s="78"/>
      <c r="O31" s="78"/>
      <c r="P31" s="78" t="str">
        <f t="shared" si="4"/>
        <v>,nyuin_heizonsho_name</v>
      </c>
      <c r="Q31" s="78" t="str">
        <f t="shared" si="0"/>
        <v>TEXT</v>
      </c>
      <c r="R31" s="78" t="str">
        <f t="shared" si="1"/>
        <v/>
      </c>
      <c r="S31" s="78" t="str">
        <f t="shared" si="5"/>
        <v/>
      </c>
      <c r="T31" s="78" t="str">
        <f t="shared" si="6"/>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A00-000000000000}"/>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ENT_01_C1-08</v>
      </c>
      <c r="E6" s="239"/>
      <c r="F6" s="239"/>
      <c r="G6" s="239"/>
      <c r="H6" s="239"/>
      <c r="I6" s="239"/>
      <c r="J6" s="240"/>
    </row>
    <row r="7" spans="1:45">
      <c r="B7" s="228" t="s">
        <v>115</v>
      </c>
      <c r="C7" s="229"/>
      <c r="D7" s="230" t="s">
        <v>316</v>
      </c>
      <c r="E7" s="231"/>
      <c r="F7" s="231"/>
      <c r="G7" s="231"/>
      <c r="H7" s="231"/>
      <c r="I7" s="231"/>
      <c r="J7" s="232"/>
    </row>
    <row r="8" spans="1:45">
      <c r="B8" s="228" t="s">
        <v>116</v>
      </c>
      <c r="C8" s="229"/>
      <c r="D8" s="230" t="str">
        <f>エンティティ一覧!AE2&amp;"_"&amp;D5&amp;"_merge_dpc_ff1_a006050"</f>
        <v>azn_202310_backup_merge_dpc_ff1_a006050</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milscm_2023_010.azn_202310_backup_merge_dpc_ff1_a006050;</v>
      </c>
      <c r="O10" s="78"/>
      <c r="P10" s="78"/>
      <c r="Q10" s="78"/>
      <c r="R10" s="78"/>
      <c r="S10" s="78"/>
      <c r="T10" s="78"/>
      <c r="AJ10" s="78" t="str">
        <f>"ALTER TABLE ONLY "&amp;エンティティ一覧!$O$2&amp;"."&amp;D$8</f>
        <v>ALTER TABLE ONLY milscm_2023_010.azn_202310_backup_merge_dpc_ff1_a006050</v>
      </c>
      <c r="AS10" s="78" t="str">
        <f>"ALTER TABLE "&amp;エンティティ一覧!$O$2&amp;"."&amp;D$8&amp;" OWNER TO pgmisgrp1;"</f>
        <v>ALTER TABLE milscm_2023_010.azn_202310_backup_merge_dpc_ff1_a006050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milscm_2023_010.azn_202310_backup_merge_dpc_ff1_a006050</v>
      </c>
      <c r="O11" s="78"/>
      <c r="P11" s="78"/>
      <c r="Q11" s="78"/>
      <c r="R11" s="78"/>
      <c r="S11" s="78"/>
      <c r="T11" s="78"/>
      <c r="AJ11" s="78" t="str">
        <f>"ADD CONSTRAINT "&amp;D$8&amp;"_pkey PRIMARY KEY"</f>
        <v>ADD CONSTRAINT azn_202310_backup_merge_dpc_ff1_a006050_pkey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milscm_2023_010.azn_202310_backup_merge_dpc_ff1_a006050 IS 'バックアップ_DPC調査データ_様式1_診断情報_続発症';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milscm_2023_010.azn_202310_backup_merge_dpc_ff1_a006050.torikomi_ym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milscm_2023_010.azn_202310_backup_merge_dpc_ff1_a006050.mil_karute_id IS '千年カルテID';</v>
      </c>
    </row>
    <row r="15" spans="1:45" s="25" customFormat="1" ht="37.5">
      <c r="A15" s="4"/>
      <c r="B15" s="21">
        <f t="shared" si="2"/>
        <v>3</v>
      </c>
      <c r="C15" s="13" t="s">
        <v>137</v>
      </c>
      <c r="D15" s="13" t="s">
        <v>886</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milscm_2023_010.azn_202310_backup_merge_dpc_ff1_a006050.facility_id IS '施設ID';</v>
      </c>
    </row>
    <row r="16" spans="1:45" s="25" customFormat="1" ht="93.75">
      <c r="B16" s="21">
        <f t="shared" si="2"/>
        <v>4</v>
      </c>
      <c r="C16" s="6" t="s">
        <v>869</v>
      </c>
      <c r="D16" s="6" t="s">
        <v>887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1" si="5">IF(I16="○","NOT NULL","")</f>
        <v>NOT NULL</v>
      </c>
      <c r="T16" s="78" t="str">
        <f t="shared" ref="T16:T31"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milscm_2023_010.azn_202310_backup_merge_dpc_ff1_a006050.shinryo_ym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milscm_2023_010.azn_202310_backup_merge_dpc_ff1_a006050.data_type IS 'データ種別';</v>
      </c>
    </row>
    <row r="18" spans="1:52" s="25" customFormat="1">
      <c r="B18" s="21">
        <f t="shared" si="2"/>
        <v>6</v>
      </c>
      <c r="C18" s="6" t="s">
        <v>870</v>
      </c>
      <c r="D18" s="6" t="s">
        <v>888</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milscm_2023_010.azn_202310_backup_merge_dpc_ff1_a006050.shikibetsu_no IS 'データ識別番号';</v>
      </c>
    </row>
    <row r="19" spans="1:52" s="25" customFormat="1">
      <c r="B19" s="21">
        <f t="shared" si="2"/>
        <v>7</v>
      </c>
      <c r="C19" s="13" t="s">
        <v>871</v>
      </c>
      <c r="D19" s="13" t="s">
        <v>889</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milscm_2023_010.azn_202310_backup_merge_dpc_ff1_a006050.nyuin_ymd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milscm_2023_010.azn_202310_backup_merge_dpc_ff1_a006050.times_no IS '回数管理番号';</v>
      </c>
    </row>
    <row r="21" spans="1:52" s="25" customFormat="1">
      <c r="A21" s="4"/>
      <c r="B21" s="21">
        <f t="shared" si="2"/>
        <v>9</v>
      </c>
      <c r="C21" s="13" t="s">
        <v>568</v>
      </c>
      <c r="D21" s="13" t="s">
        <v>890</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milscm_2023_010.azn_202310_backup_merge_dpc_ff1_a006050.sokatsu_shinryo_no IS '統括診療情報番号';</v>
      </c>
    </row>
    <row r="22" spans="1:52" s="25" customFormat="1">
      <c r="A22" s="4"/>
      <c r="B22" s="21">
        <f t="shared" si="2"/>
        <v>10</v>
      </c>
      <c r="C22" s="6" t="s">
        <v>359</v>
      </c>
      <c r="D22" s="6" t="s">
        <v>360</v>
      </c>
      <c r="E22" s="8" t="s">
        <v>127</v>
      </c>
      <c r="F22" s="7" t="s">
        <v>868</v>
      </c>
      <c r="G22" s="7" t="str">
        <f t="shared" si="3"/>
        <v>text</v>
      </c>
      <c r="H22" s="26" t="s">
        <v>893</v>
      </c>
      <c r="I22" s="10" t="s">
        <v>127</v>
      </c>
      <c r="J22" s="11" t="s">
        <v>894</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milscm_2023_010.azn_202310_backup_merge_dpc_ff1_a006050.code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milscm_2023_010.azn_202310_backup_merge_dpc_ff1_a006050.version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milscm_2023_010.azn_202310_backup_merge_dpc_ff1_a006050.number IS '連番';</v>
      </c>
    </row>
    <row r="25" spans="1:52" s="25" customFormat="1">
      <c r="A25" s="4"/>
      <c r="B25" s="21">
        <f t="shared" si="2"/>
        <v>13</v>
      </c>
      <c r="C25" s="13" t="s">
        <v>666</v>
      </c>
      <c r="D25" s="13" t="s">
        <v>874</v>
      </c>
      <c r="E25" s="7"/>
      <c r="F25" s="7" t="s">
        <v>868</v>
      </c>
      <c r="G25" s="7" t="str">
        <f t="shared" si="3"/>
        <v>text</v>
      </c>
      <c r="H25" s="58"/>
      <c r="I25" s="23"/>
      <c r="J25" s="24" t="s">
        <v>895</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milscm_2023_010.azn_202310_backup_merge_dpc_ff1_a006050.icd10_code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milscm_2023_010.azn_202310_backup_merge_dpc_ff1_a006050.shobyo_code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milscm_2023_010.azn_202310_backup_merge_dpc_ff1_a006050.shushoku_code1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milscm_2023_010.azn_202310_backup_merge_dpc_ff1_a006050.shushoku_code2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milscm_2023_010.azn_202310_backup_merge_dpc_ff1_a006050.shushoku_code3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milscm_2023_010.azn_202310_backup_merge_dpc_ff1_a006050.shushoku_code4 IS '修飾語コード4';</v>
      </c>
    </row>
    <row r="31" spans="1:52" s="25" customFormat="1" ht="19.5" thickBot="1">
      <c r="A31" s="4"/>
      <c r="B31" s="27">
        <f>ROW()-12</f>
        <v>19</v>
      </c>
      <c r="C31" s="57" t="s">
        <v>891</v>
      </c>
      <c r="D31" s="57" t="s">
        <v>892</v>
      </c>
      <c r="E31" s="56"/>
      <c r="F31" s="56" t="s">
        <v>868</v>
      </c>
      <c r="G31" s="56" t="str">
        <f t="shared" si="3"/>
        <v>text</v>
      </c>
      <c r="H31" s="59"/>
      <c r="I31" s="60"/>
      <c r="J31" s="61" t="s">
        <v>896</v>
      </c>
      <c r="N31" s="78"/>
      <c r="O31" s="78"/>
      <c r="P31" s="78" t="str">
        <f t="shared" si="4"/>
        <v>,nyuin_shikkan_name</v>
      </c>
      <c r="Q31" s="78" t="str">
        <f t="shared" si="0"/>
        <v>TEXT</v>
      </c>
      <c r="R31" s="78" t="str">
        <f t="shared" si="1"/>
        <v/>
      </c>
      <c r="S31" s="78" t="str">
        <f t="shared" si="5"/>
        <v/>
      </c>
      <c r="T31" s="78" t="str">
        <f t="shared" si="6"/>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6B00-000000000000}"/>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ENT_01_C2-01</v>
      </c>
      <c r="E6" s="239"/>
      <c r="F6" s="239"/>
      <c r="G6" s="239"/>
      <c r="H6" s="239"/>
      <c r="I6" s="239"/>
      <c r="J6" s="240"/>
    </row>
    <row r="7" spans="1:45">
      <c r="B7" s="228" t="s">
        <v>115</v>
      </c>
      <c r="C7" s="229"/>
      <c r="D7" s="230" t="s">
        <v>948</v>
      </c>
      <c r="E7" s="231"/>
      <c r="F7" s="231"/>
      <c r="G7" s="231"/>
      <c r="H7" s="231"/>
      <c r="I7" s="231"/>
      <c r="J7" s="232"/>
    </row>
    <row r="8" spans="1:45">
      <c r="B8" s="228" t="s">
        <v>116</v>
      </c>
      <c r="C8" s="229"/>
      <c r="D8" s="230" t="str">
        <f>エンティティ一覧!AE2&amp;"_"&amp;D5&amp;"_merge_receiptc_ir"</f>
        <v>azn_202310_backup_merge_receiptc_ir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milscm_2023_010.azn_202310_backup_merge_receiptc_ir;</v>
      </c>
      <c r="O10" s="78"/>
      <c r="P10" s="78"/>
      <c r="Q10" s="78"/>
      <c r="R10" s="78"/>
      <c r="S10" s="78"/>
      <c r="T10" s="78"/>
      <c r="AJ10" s="78" t="str">
        <f>"ALTER TABLE ONLY "&amp;エンティティ一覧!$O$2&amp;"."&amp;D$8</f>
        <v>ALTER TABLE ONLY milscm_2023_010.azn_202310_backup_merge_receiptc_ir</v>
      </c>
      <c r="AS10" s="78" t="str">
        <f>"ALTER TABLE "&amp;エンティティ一覧!$O$2&amp;"."&amp;D$8&amp;" OWNER TO pgmisgrp1;"</f>
        <v>ALTER TABLE milscm_2023_010.azn_202310_backup_merge_receiptc_ir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milscm_2023_010.azn_202310_backup_merge_receiptc_ir</v>
      </c>
      <c r="O11" s="78"/>
      <c r="P11" s="78"/>
      <c r="Q11" s="78"/>
      <c r="R11" s="78"/>
      <c r="S11" s="78"/>
      <c r="T11" s="78"/>
      <c r="AJ11" s="78" t="str">
        <f>"ADD CONSTRAINT "&amp;D$8&amp;"_pkey PRIMARY KEY"</f>
        <v>ADD CONSTRAINT azn_202310_backup_merge_receiptc_ir_pkey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milscm_2023_010.azn_202310_backup_merge_receiptc_ir IS 'バックアップ_医科レセプト_医療機関情報レコード';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milscm_2023_010.azn_202310_backup_merge_receiptc_ir.torikomi_ym IS '取込年月';</v>
      </c>
    </row>
    <row r="14" spans="1:45" s="25" customFormat="1">
      <c r="A14" s="4"/>
      <c r="B14" s="21">
        <f t="shared" ref="B14:B29" si="2">ROW()-12</f>
        <v>2</v>
      </c>
      <c r="C14" s="6" t="s">
        <v>203</v>
      </c>
      <c r="D14" s="6" t="s">
        <v>204</v>
      </c>
      <c r="E14" s="8"/>
      <c r="F14" s="7" t="s">
        <v>205</v>
      </c>
      <c r="G14" s="7" t="str">
        <f t="shared" ref="G14:G30"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milscm_2023_010.azn_202310_backup_merge_receiptc_ir.mil_karute_id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milscm_2023_010.azn_202310_backup_merge_receiptc_ir.facility_id IS '施設ID';</v>
      </c>
    </row>
    <row r="16" spans="1:45" s="25" customFormat="1" ht="56.25">
      <c r="B16" s="21">
        <f t="shared" si="2"/>
        <v>4</v>
      </c>
      <c r="C16" s="6" t="s">
        <v>949</v>
      </c>
      <c r="D16" s="6" t="s">
        <v>950</v>
      </c>
      <c r="E16" s="8" t="s">
        <v>127</v>
      </c>
      <c r="F16" s="7" t="s">
        <v>868</v>
      </c>
      <c r="G16" s="7" t="str">
        <f t="shared" si="3"/>
        <v>text</v>
      </c>
      <c r="H16" s="26"/>
      <c r="I16" s="10" t="s">
        <v>127</v>
      </c>
      <c r="J16" s="53" t="s">
        <v>976</v>
      </c>
      <c r="M16" s="4"/>
      <c r="N16" s="78"/>
      <c r="O16" s="78"/>
      <c r="P16" s="78" t="str">
        <f t="shared" si="4"/>
        <v>,seikyu_ym</v>
      </c>
      <c r="Q16" s="78" t="str">
        <f t="shared" si="0"/>
        <v>TEXT</v>
      </c>
      <c r="R16" s="78" t="str">
        <f t="shared" si="1"/>
        <v/>
      </c>
      <c r="S16" s="78" t="str">
        <f t="shared" ref="S16:S30" si="5">IF(I16="○","NOT NULL","")</f>
        <v>NOT NULL</v>
      </c>
      <c r="T16" s="78" t="str">
        <f t="shared" ref="T16:T30"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milscm_2023_010.azn_202310_backup_merge_receiptc_ir.seikyu_ym IS '請求年月';</v>
      </c>
    </row>
    <row r="17" spans="1:52" s="25" customFormat="1" ht="75">
      <c r="B17" s="21">
        <f t="shared" si="2"/>
        <v>5</v>
      </c>
      <c r="C17" s="13" t="s">
        <v>869</v>
      </c>
      <c r="D17" s="13" t="s">
        <v>207</v>
      </c>
      <c r="E17" s="7" t="s">
        <v>127</v>
      </c>
      <c r="F17" s="7" t="s">
        <v>868</v>
      </c>
      <c r="G17" s="7" t="str">
        <f t="shared" si="3"/>
        <v>text</v>
      </c>
      <c r="H17" s="58"/>
      <c r="I17" s="23" t="s">
        <v>127</v>
      </c>
      <c r="J17" s="24" t="s">
        <v>982</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milscm_2023_010.azn_202310_backup_merge_receiptc_ir.shinryo_ym IS '診療年月';</v>
      </c>
    </row>
    <row r="18" spans="1:52" s="25" customFormat="1">
      <c r="B18" s="21">
        <f t="shared" si="2"/>
        <v>6</v>
      </c>
      <c r="C18" s="6" t="s">
        <v>320</v>
      </c>
      <c r="D18" s="6" t="s">
        <v>209</v>
      </c>
      <c r="E18" s="8"/>
      <c r="F18" s="7" t="s">
        <v>868</v>
      </c>
      <c r="G18" s="7" t="str">
        <f t="shared" si="3"/>
        <v>text</v>
      </c>
      <c r="H18" s="26" t="s">
        <v>977</v>
      </c>
      <c r="I18" s="10" t="s">
        <v>127</v>
      </c>
      <c r="J18" s="11"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milscm_2023_010.azn_202310_backup_merge_receiptc_ir.data_type IS 'データ種別';</v>
      </c>
    </row>
    <row r="19" spans="1:52" s="25" customFormat="1">
      <c r="B19" s="21">
        <f t="shared" si="2"/>
        <v>7</v>
      </c>
      <c r="C19" s="13" t="s">
        <v>951</v>
      </c>
      <c r="D19" s="13" t="s">
        <v>952</v>
      </c>
      <c r="E19" s="7" t="s">
        <v>127</v>
      </c>
      <c r="F19" s="7" t="s">
        <v>868</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milscm_2023_010.azn_202310_backup_merge_receiptc_ir.shinsa_kikan IS '審査支払機関';</v>
      </c>
    </row>
    <row r="20" spans="1:52" s="25" customFormat="1">
      <c r="B20" s="21">
        <f t="shared" si="2"/>
        <v>8</v>
      </c>
      <c r="C20" s="6" t="s">
        <v>953</v>
      </c>
      <c r="D20" s="6" t="s">
        <v>954</v>
      </c>
      <c r="E20" s="8"/>
      <c r="F20" s="7" t="s">
        <v>868</v>
      </c>
      <c r="G20" s="7" t="str">
        <f t="shared" si="3"/>
        <v>text</v>
      </c>
      <c r="H20" s="26" t="s">
        <v>979</v>
      </c>
      <c r="I20" s="10" t="s">
        <v>127</v>
      </c>
      <c r="J20" s="11" t="s">
        <v>980</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milscm_2023_010.azn_202310_backup_merge_receiptc_ir.record_shikibetsu IS 'レコード識別情報';</v>
      </c>
    </row>
    <row r="21" spans="1:52" s="25" customFormat="1">
      <c r="A21" s="4"/>
      <c r="B21" s="21">
        <f t="shared" si="2"/>
        <v>9</v>
      </c>
      <c r="C21" s="13" t="s">
        <v>955</v>
      </c>
      <c r="D21" s="13" t="s">
        <v>956</v>
      </c>
      <c r="E21" s="7" t="s">
        <v>127</v>
      </c>
      <c r="F21" s="7" t="s">
        <v>205</v>
      </c>
      <c r="G21" s="7" t="str">
        <f t="shared" si="3"/>
        <v>integer</v>
      </c>
      <c r="H21" s="58">
        <v>0</v>
      </c>
      <c r="I21" s="23" t="s">
        <v>127</v>
      </c>
      <c r="J21" s="24" t="s">
        <v>981</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milscm_2023_010.azn_202310_backup_merge_receiptc_ir.receipt_no IS 'レセプト番号';</v>
      </c>
    </row>
    <row r="22" spans="1:52" s="25" customFormat="1">
      <c r="A22" s="4"/>
      <c r="B22" s="21">
        <f t="shared" si="2"/>
        <v>10</v>
      </c>
      <c r="C22" s="6" t="s">
        <v>957</v>
      </c>
      <c r="D22" s="6" t="s">
        <v>958</v>
      </c>
      <c r="E22" s="8" t="s">
        <v>127</v>
      </c>
      <c r="F22" s="7" t="s">
        <v>205</v>
      </c>
      <c r="G22" s="7" t="str">
        <f t="shared" si="3"/>
        <v>integer</v>
      </c>
      <c r="H22" s="26">
        <v>0</v>
      </c>
      <c r="I22" s="10" t="s">
        <v>127</v>
      </c>
      <c r="J22" s="11" t="s">
        <v>981</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milscm_2023_010.azn_202310_backup_merge_receiptc_ir.gyo_no IS '行番号';</v>
      </c>
    </row>
    <row r="23" spans="1:52" s="25" customFormat="1">
      <c r="A23" s="4"/>
      <c r="B23" s="21">
        <f t="shared" si="2"/>
        <v>11</v>
      </c>
      <c r="C23" s="13" t="s">
        <v>959</v>
      </c>
      <c r="D23" s="13" t="s">
        <v>960</v>
      </c>
      <c r="E23" s="7"/>
      <c r="F23" s="7" t="s">
        <v>868</v>
      </c>
      <c r="G23" s="7" t="str">
        <f t="shared" si="3"/>
        <v>text</v>
      </c>
      <c r="H23" s="58"/>
      <c r="I23" s="23"/>
      <c r="J23" s="24" t="s">
        <v>866</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milscm_2023_010.azn_202310_backup_merge_receiptc_ir.karute_no IS 'カルテ番号等';</v>
      </c>
    </row>
    <row r="24" spans="1:52" s="25" customFormat="1">
      <c r="A24" s="4"/>
      <c r="B24" s="21">
        <f t="shared" si="2"/>
        <v>12</v>
      </c>
      <c r="C24" s="6" t="s">
        <v>961</v>
      </c>
      <c r="D24" s="6" t="s">
        <v>962</v>
      </c>
      <c r="E24" s="8"/>
      <c r="F24" s="7" t="s">
        <v>868</v>
      </c>
      <c r="G24" s="7" t="str">
        <f t="shared" si="3"/>
        <v>text</v>
      </c>
      <c r="H24" s="26"/>
      <c r="I24" s="10"/>
      <c r="J24" s="11"/>
      <c r="N24" s="78"/>
      <c r="O24" s="78"/>
      <c r="P24" s="78" t="str">
        <f t="shared" si="4"/>
        <v>,prefecture</v>
      </c>
      <c r="Q24" s="78" t="str">
        <f t="shared" si="0"/>
        <v>TEXT</v>
      </c>
      <c r="R24" s="78" t="str">
        <f t="shared" si="1"/>
        <v/>
      </c>
      <c r="S24" s="78" t="str">
        <f t="shared" si="5"/>
        <v/>
      </c>
      <c r="T24" s="78" t="str">
        <f t="shared" si="6"/>
        <v>-- 都道府県</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milscm_2023_010.azn_202310_backup_merge_receiptc_ir.prefecture IS '都道府県';</v>
      </c>
    </row>
    <row r="25" spans="1:52" s="25" customFormat="1">
      <c r="A25" s="4"/>
      <c r="B25" s="21">
        <f t="shared" si="2"/>
        <v>13</v>
      </c>
      <c r="C25" s="13" t="s">
        <v>963</v>
      </c>
      <c r="D25" s="13" t="s">
        <v>964</v>
      </c>
      <c r="E25" s="7"/>
      <c r="F25" s="7" t="s">
        <v>868</v>
      </c>
      <c r="G25" s="7" t="str">
        <f t="shared" si="3"/>
        <v>text</v>
      </c>
      <c r="H25" s="58"/>
      <c r="I25" s="23"/>
      <c r="J25" s="24"/>
      <c r="N25" s="78"/>
      <c r="O25" s="78"/>
      <c r="P25" s="78" t="str">
        <f t="shared" si="4"/>
        <v>,tensuhyo</v>
      </c>
      <c r="Q25" s="78" t="str">
        <f t="shared" si="0"/>
        <v>TEXT</v>
      </c>
      <c r="R25" s="78" t="str">
        <f t="shared" si="1"/>
        <v/>
      </c>
      <c r="S25" s="78" t="str">
        <f t="shared" si="5"/>
        <v/>
      </c>
      <c r="T25" s="78" t="str">
        <f t="shared" si="6"/>
        <v>-- 点数表</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milscm_2023_010.azn_202310_backup_merge_receiptc_ir.tensuhyo IS '点数表';</v>
      </c>
    </row>
    <row r="26" spans="1:52" s="25" customFormat="1">
      <c r="A26" s="4"/>
      <c r="B26" s="21">
        <f t="shared" si="2"/>
        <v>14</v>
      </c>
      <c r="C26" s="6" t="s">
        <v>965</v>
      </c>
      <c r="D26" s="6" t="s">
        <v>966</v>
      </c>
      <c r="E26" s="8"/>
      <c r="F26" s="7" t="s">
        <v>868</v>
      </c>
      <c r="G26" s="7" t="str">
        <f t="shared" si="3"/>
        <v>text</v>
      </c>
      <c r="H26" s="26"/>
      <c r="I26" s="10"/>
      <c r="J26" s="11"/>
      <c r="N26" s="78"/>
      <c r="O26" s="78"/>
      <c r="P26" s="78" t="str">
        <f t="shared" si="4"/>
        <v>,hospital_code</v>
      </c>
      <c r="Q26" s="78" t="str">
        <f t="shared" si="0"/>
        <v>TEXT</v>
      </c>
      <c r="R26" s="78" t="str">
        <f t="shared" si="1"/>
        <v/>
      </c>
      <c r="S26" s="78" t="str">
        <f t="shared" si="5"/>
        <v/>
      </c>
      <c r="T26" s="78" t="str">
        <f t="shared" si="6"/>
        <v>-- 医療機関コード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milscm_2023_010.azn_202310_backup_merge_receiptc_ir.hospital_code IS '医療機関コード';</v>
      </c>
    </row>
    <row r="27" spans="1:52" s="25" customFormat="1">
      <c r="A27" s="4"/>
      <c r="B27" s="21">
        <f t="shared" si="2"/>
        <v>15</v>
      </c>
      <c r="C27" s="6" t="s">
        <v>967</v>
      </c>
      <c r="D27" s="6" t="s">
        <v>968</v>
      </c>
      <c r="E27" s="8"/>
      <c r="F27" s="7" t="s">
        <v>868</v>
      </c>
      <c r="G27" s="7" t="str">
        <f t="shared" si="3"/>
        <v>text</v>
      </c>
      <c r="H27" s="26"/>
      <c r="I27" s="10"/>
      <c r="J27" s="11"/>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milscm_2023_010.azn_202310_backup_merge_receiptc_ir.reserve1 IS '予備1';</v>
      </c>
    </row>
    <row r="28" spans="1:52" s="25" customFormat="1">
      <c r="A28" s="4"/>
      <c r="B28" s="21">
        <f t="shared" si="2"/>
        <v>16</v>
      </c>
      <c r="C28" s="13" t="s">
        <v>969</v>
      </c>
      <c r="D28" s="13" t="s">
        <v>970</v>
      </c>
      <c r="E28" s="7"/>
      <c r="F28" s="7" t="s">
        <v>868</v>
      </c>
      <c r="G28" s="7" t="str">
        <f t="shared" si="3"/>
        <v>text</v>
      </c>
      <c r="H28" s="58"/>
      <c r="I28" s="23"/>
      <c r="J28" s="24"/>
      <c r="N28" s="78"/>
      <c r="O28" s="78"/>
      <c r="P28" s="78" t="str">
        <f t="shared" si="4"/>
        <v>,hospital_name</v>
      </c>
      <c r="Q28" s="78" t="str">
        <f t="shared" si="0"/>
        <v>TEXT</v>
      </c>
      <c r="R28" s="78" t="str">
        <f t="shared" si="1"/>
        <v/>
      </c>
      <c r="S28" s="78" t="str">
        <f t="shared" si="5"/>
        <v/>
      </c>
      <c r="T28" s="78" t="str">
        <f t="shared" si="6"/>
        <v>-- 医療機関名称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milscm_2023_010.azn_202310_backup_merge_receiptc_ir.hospital_name IS '医療機関名称';</v>
      </c>
    </row>
    <row r="29" spans="1:52" s="25" customFormat="1">
      <c r="A29" s="4"/>
      <c r="B29" s="21">
        <f t="shared" si="2"/>
        <v>17</v>
      </c>
      <c r="C29" s="13" t="s">
        <v>971</v>
      </c>
      <c r="D29" s="13" t="s">
        <v>972</v>
      </c>
      <c r="E29" s="7"/>
      <c r="F29" s="7" t="s">
        <v>868</v>
      </c>
      <c r="G29" s="7" t="str">
        <f t="shared" si="3"/>
        <v>text</v>
      </c>
      <c r="H29" s="58"/>
      <c r="I29" s="23"/>
      <c r="J29" s="24"/>
      <c r="N29" s="78"/>
      <c r="O29" s="78"/>
      <c r="P29" s="78" t="str">
        <f t="shared" si="4"/>
        <v>,multi_volume_shikibetsu</v>
      </c>
      <c r="Q29" s="78" t="str">
        <f t="shared" si="0"/>
        <v>TEXT</v>
      </c>
      <c r="R29" s="78" t="str">
        <f t="shared" si="1"/>
        <v/>
      </c>
      <c r="S29" s="78" t="str">
        <f t="shared" si="5"/>
        <v/>
      </c>
      <c r="T29" s="78" t="str">
        <f t="shared" si="6"/>
        <v>-- マルチボリューム識別情報</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milscm_2023_010.azn_202310_backup_merge_receiptc_ir.multi_volume_shikibetsu IS 'マルチボリューム識別情報';</v>
      </c>
    </row>
    <row r="30" spans="1:52" s="25" customFormat="1" ht="19.5" thickBot="1">
      <c r="A30" s="4"/>
      <c r="B30" s="27">
        <f>ROW()-12</f>
        <v>18</v>
      </c>
      <c r="C30" s="57" t="s">
        <v>973</v>
      </c>
      <c r="D30" s="57" t="s">
        <v>974</v>
      </c>
      <c r="E30" s="56"/>
      <c r="F30" s="56" t="s">
        <v>868</v>
      </c>
      <c r="G30" s="56" t="str">
        <f t="shared" si="3"/>
        <v>text</v>
      </c>
      <c r="H30" s="59"/>
      <c r="I30" s="60"/>
      <c r="J30" s="64"/>
      <c r="N30" s="78"/>
      <c r="O30" s="78"/>
      <c r="P30" s="78" t="str">
        <f t="shared" si="4"/>
        <v>,phone_no</v>
      </c>
      <c r="Q30" s="78" t="str">
        <f t="shared" si="0"/>
        <v>TEXT</v>
      </c>
      <c r="R30" s="78" t="str">
        <f t="shared" si="1"/>
        <v/>
      </c>
      <c r="S30" s="78" t="str">
        <f t="shared" si="5"/>
        <v/>
      </c>
      <c r="T30" s="78" t="str">
        <f t="shared" si="6"/>
        <v>-- 電話番号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milscm_2023_010.azn_202310_backup_merge_receiptc_ir.phone_no IS '電話番号';</v>
      </c>
    </row>
    <row r="31" spans="1:52">
      <c r="L31" s="25"/>
      <c r="M31" s="25"/>
      <c r="N31" s="78" t="s">
        <v>142</v>
      </c>
      <c r="O31" s="78"/>
      <c r="P31" s="78"/>
      <c r="Q31" s="78"/>
      <c r="R31" s="78"/>
      <c r="S31" s="78"/>
      <c r="T31" s="78"/>
      <c r="V31" s="25"/>
      <c r="W31" s="25"/>
      <c r="X31" s="25"/>
      <c r="Y31" s="25"/>
      <c r="Z31" s="25"/>
      <c r="AJ31" s="78"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C00-000000000000}"/>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AZ10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ENT_01_C2-02</v>
      </c>
      <c r="E6" s="239"/>
      <c r="F6" s="239"/>
      <c r="G6" s="239"/>
      <c r="H6" s="239"/>
      <c r="I6" s="239"/>
      <c r="J6" s="240"/>
    </row>
    <row r="7" spans="1:45">
      <c r="B7" s="228" t="s">
        <v>115</v>
      </c>
      <c r="C7" s="229"/>
      <c r="D7" s="230" t="s">
        <v>984</v>
      </c>
      <c r="E7" s="231"/>
      <c r="F7" s="231"/>
      <c r="G7" s="231"/>
      <c r="H7" s="231"/>
      <c r="I7" s="231"/>
      <c r="J7" s="232"/>
    </row>
    <row r="8" spans="1:45">
      <c r="B8" s="228" t="s">
        <v>116</v>
      </c>
      <c r="C8" s="229"/>
      <c r="D8" s="230" t="str">
        <f>エンティティ一覧!AE2&amp;"_"&amp;D5&amp;"_merge_receiptc_re"</f>
        <v>azn_202310_backup_merge_receiptc_re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milscm_2023_010.azn_202310_backup_merge_receiptc_re;</v>
      </c>
      <c r="O10" s="78"/>
      <c r="P10" s="78"/>
      <c r="Q10" s="78"/>
      <c r="R10" s="78"/>
      <c r="S10" s="78"/>
      <c r="T10" s="78"/>
      <c r="AJ10" s="78" t="str">
        <f>"ALTER TABLE ONLY "&amp;エンティティ一覧!$O$2&amp;"."&amp;D$8</f>
        <v>ALTER TABLE ONLY milscm_2023_010.azn_202310_backup_merge_receiptc_re</v>
      </c>
      <c r="AS10" s="78" t="str">
        <f>"ALTER TABLE "&amp;エンティティ一覧!$O$2&amp;"."&amp;D$8&amp;" OWNER TO pgmisgrp1;"</f>
        <v>ALTER TABLE milscm_2023_010.azn_202310_backup_merge_receiptc_re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milscm_2023_010.azn_202310_backup_merge_receiptc_re</v>
      </c>
      <c r="O11" s="78"/>
      <c r="P11" s="78"/>
      <c r="Q11" s="78"/>
      <c r="R11" s="78"/>
      <c r="S11" s="78"/>
      <c r="T11" s="78"/>
      <c r="AJ11" s="78" t="str">
        <f>"ADD CONSTRAINT "&amp;D$8&amp;"_pkey PRIMARY KEY"</f>
        <v>ADD CONSTRAINT azn_202310_backup_merge_receiptc_re_pkey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milscm_2023_010.azn_202310_backup_merge_receiptc_re IS 'バックアップ_医科レセプト_レセプト共通レコード';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83" si="0">UPPER(G13)</f>
        <v>TEXT</v>
      </c>
      <c r="R13" s="78" t="str">
        <f t="shared" ref="R13:R8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milscm_2023_010.azn_202310_backup_merge_receiptc_re.torikomi_ym IS '取込年月';</v>
      </c>
    </row>
    <row r="14" spans="1:45" s="25" customFormat="1">
      <c r="A14" s="4"/>
      <c r="B14" s="21">
        <f t="shared" ref="B14:B82" si="2">ROW()-12</f>
        <v>2</v>
      </c>
      <c r="C14" s="6" t="s">
        <v>203</v>
      </c>
      <c r="D14" s="6" t="s">
        <v>204</v>
      </c>
      <c r="E14" s="8"/>
      <c r="F14" s="7" t="s">
        <v>205</v>
      </c>
      <c r="G14" s="7" t="str">
        <f t="shared" ref="G14:G83" si="3">IF(F14="フラグ","boolean",IF(F14="文字列","text",IF(F14="整数","integer",IF(F14="実数","numeric",""))))</f>
        <v>integer</v>
      </c>
      <c r="H14" s="26"/>
      <c r="I14" s="10"/>
      <c r="J14" s="11" t="s">
        <v>258</v>
      </c>
      <c r="M14" s="4"/>
      <c r="N14" s="78"/>
      <c r="O14" s="78"/>
      <c r="P14" s="78" t="str">
        <f t="shared" ref="P14:P8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milscm_2023_010.azn_202310_backup_merge_receiptc_re.mil_karute_id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milscm_2023_010.azn_202310_backup_merge_receiptc_re.facility_id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83" si="5">IF(I16="○","NOT NULL","")</f>
        <v>NOT NULL</v>
      </c>
      <c r="T16" s="78" t="str">
        <f t="shared" ref="T16:T83"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milscm_2023_010.azn_202310_backup_merge_receiptc_re.seikyu_ym IS '請求年月';</v>
      </c>
    </row>
    <row r="17" spans="2:45" s="25" customFormat="1" ht="75">
      <c r="B17" s="21">
        <f t="shared" si="2"/>
        <v>5</v>
      </c>
      <c r="C17" s="13" t="s">
        <v>869</v>
      </c>
      <c r="D17" s="13" t="s">
        <v>207</v>
      </c>
      <c r="E17" s="7" t="s">
        <v>127</v>
      </c>
      <c r="F17" s="7" t="s">
        <v>868</v>
      </c>
      <c r="G17" s="7" t="str">
        <f t="shared" ref="G17:G80" si="7">IF(F17="フラグ","boolean",IF(F17="文字列","text",IF(F17="整数","integer",IF(F17="実数","numeric",""))))</f>
        <v>text</v>
      </c>
      <c r="H17" s="58"/>
      <c r="I17" s="23" t="s">
        <v>127</v>
      </c>
      <c r="J17" s="24" t="s">
        <v>1101</v>
      </c>
      <c r="N17" s="78"/>
      <c r="O17" s="78"/>
      <c r="P17" s="78" t="str">
        <f t="shared" ref="P17:P80" si="8">IF(B17&lt;&gt;1,","&amp;D17,D17)</f>
        <v>,shinryo_ym</v>
      </c>
      <c r="Q17" s="78" t="str">
        <f t="shared" ref="Q17:Q80" si="9">UPPER(G17)</f>
        <v>TEXT</v>
      </c>
      <c r="R17" s="78" t="str">
        <f t="shared" ref="R17:R80" si="10">IF(H17&lt;&gt;"","default "&amp;IF(G17="text","'"&amp;H17&amp;"'",H17),"")</f>
        <v/>
      </c>
      <c r="S17" s="78" t="str">
        <f t="shared" ref="S17:S80" si="11">IF(I17="○","NOT NULL","")</f>
        <v>NOT NULL</v>
      </c>
      <c r="T17" s="78" t="str">
        <f t="shared" ref="T17:T80" si="12">"-- "&amp;C17</f>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milscm_2023_010.azn_202310_backup_merge_receiptc_re.shinryo_ym IS '診療年月';</v>
      </c>
    </row>
    <row r="18" spans="2:45" s="25" customFormat="1">
      <c r="B18" s="21">
        <f t="shared" si="2"/>
        <v>6</v>
      </c>
      <c r="C18" s="13" t="s">
        <v>320</v>
      </c>
      <c r="D18" s="13" t="s">
        <v>209</v>
      </c>
      <c r="E18" s="7"/>
      <c r="F18" s="7" t="s">
        <v>868</v>
      </c>
      <c r="G18" s="7" t="str">
        <f t="shared" si="7"/>
        <v>text</v>
      </c>
      <c r="H18" s="58" t="s">
        <v>977</v>
      </c>
      <c r="I18" s="23" t="s">
        <v>127</v>
      </c>
      <c r="J18" s="24" t="s">
        <v>978</v>
      </c>
      <c r="N18" s="78"/>
      <c r="O18" s="78"/>
      <c r="P18" s="78" t="str">
        <f t="shared" si="8"/>
        <v>,data_type</v>
      </c>
      <c r="Q18" s="78" t="str">
        <f t="shared" si="9"/>
        <v>TEXT</v>
      </c>
      <c r="R18" s="78" t="str">
        <f t="shared" si="10"/>
        <v>default 'RCP'</v>
      </c>
      <c r="S18" s="78" t="str">
        <f t="shared" si="11"/>
        <v>NOT NULL</v>
      </c>
      <c r="T18" s="78" t="str">
        <f t="shared" si="12"/>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milscm_2023_010.azn_202310_backup_merge_receiptc_re.data_type IS 'データ種別';</v>
      </c>
    </row>
    <row r="19" spans="2:45" s="25" customFormat="1">
      <c r="B19" s="21">
        <f t="shared" si="2"/>
        <v>7</v>
      </c>
      <c r="C19" s="13" t="s">
        <v>951</v>
      </c>
      <c r="D19" s="13" t="s">
        <v>952</v>
      </c>
      <c r="E19" s="7" t="s">
        <v>127</v>
      </c>
      <c r="F19" s="7" t="s">
        <v>868</v>
      </c>
      <c r="G19" s="7" t="str">
        <f t="shared" si="7"/>
        <v>text</v>
      </c>
      <c r="H19" s="58"/>
      <c r="I19" s="23" t="s">
        <v>127</v>
      </c>
      <c r="J19" s="24" t="s">
        <v>1102</v>
      </c>
      <c r="N19" s="78"/>
      <c r="O19" s="78"/>
      <c r="P19" s="78" t="str">
        <f t="shared" si="8"/>
        <v>,shinsa_kikan</v>
      </c>
      <c r="Q19" s="78" t="str">
        <f t="shared" si="9"/>
        <v>TEXT</v>
      </c>
      <c r="R19" s="78" t="str">
        <f t="shared" si="10"/>
        <v/>
      </c>
      <c r="S19" s="78" t="str">
        <f t="shared" si="11"/>
        <v>NOT NULL</v>
      </c>
      <c r="T19" s="78" t="str">
        <f t="shared" si="12"/>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milscm_2023_010.azn_202310_backup_merge_receiptc_re.shinsa_kikan IS '審査支払機関';</v>
      </c>
    </row>
    <row r="20" spans="2:45" s="25" customFormat="1">
      <c r="B20" s="21">
        <f t="shared" si="2"/>
        <v>8</v>
      </c>
      <c r="C20" s="13" t="s">
        <v>953</v>
      </c>
      <c r="D20" s="13" t="s">
        <v>954</v>
      </c>
      <c r="E20" s="7"/>
      <c r="F20" s="7" t="s">
        <v>868</v>
      </c>
      <c r="G20" s="7" t="str">
        <f t="shared" si="7"/>
        <v>text</v>
      </c>
      <c r="H20" s="58" t="s">
        <v>1103</v>
      </c>
      <c r="I20" s="23" t="s">
        <v>127</v>
      </c>
      <c r="J20" s="24" t="s">
        <v>1104</v>
      </c>
      <c r="N20" s="78"/>
      <c r="O20" s="78"/>
      <c r="P20" s="78" t="str">
        <f t="shared" si="8"/>
        <v>,record_shikibetsu</v>
      </c>
      <c r="Q20" s="78" t="str">
        <f t="shared" si="9"/>
        <v>TEXT</v>
      </c>
      <c r="R20" s="78" t="str">
        <f t="shared" si="10"/>
        <v>default 'RE'</v>
      </c>
      <c r="S20" s="78" t="str">
        <f t="shared" si="11"/>
        <v>NOT NULL</v>
      </c>
      <c r="T20" s="78" t="str">
        <f t="shared" si="12"/>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milscm_2023_010.azn_202310_backup_merge_receiptc_re.record_shikibetsu IS 'レコード識別情報';</v>
      </c>
    </row>
    <row r="21" spans="2:45" s="25" customFormat="1">
      <c r="B21" s="21">
        <f t="shared" si="2"/>
        <v>9</v>
      </c>
      <c r="C21" s="13" t="s">
        <v>955</v>
      </c>
      <c r="D21" s="13" t="s">
        <v>956</v>
      </c>
      <c r="E21" s="7" t="s">
        <v>127</v>
      </c>
      <c r="F21" s="7" t="s">
        <v>205</v>
      </c>
      <c r="G21" s="7" t="str">
        <f t="shared" si="7"/>
        <v>integer</v>
      </c>
      <c r="H21" s="58"/>
      <c r="I21" s="23" t="s">
        <v>127</v>
      </c>
      <c r="J21" s="24" t="s">
        <v>1105</v>
      </c>
      <c r="N21" s="78"/>
      <c r="O21" s="78"/>
      <c r="P21" s="78" t="str">
        <f t="shared" si="8"/>
        <v>,receipt_no</v>
      </c>
      <c r="Q21" s="78" t="str">
        <f t="shared" si="9"/>
        <v>INTEGER</v>
      </c>
      <c r="R21" s="78" t="str">
        <f t="shared" si="10"/>
        <v/>
      </c>
      <c r="S21" s="78" t="str">
        <f t="shared" si="11"/>
        <v>NOT NULL</v>
      </c>
      <c r="T21" s="78" t="str">
        <f t="shared" si="12"/>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milscm_2023_010.azn_202310_backup_merge_receiptc_re.receipt_no IS 'レセプト番号';</v>
      </c>
    </row>
    <row r="22" spans="2:45" s="25" customFormat="1">
      <c r="B22" s="21">
        <f t="shared" si="2"/>
        <v>10</v>
      </c>
      <c r="C22" s="13" t="s">
        <v>957</v>
      </c>
      <c r="D22" s="13" t="s">
        <v>958</v>
      </c>
      <c r="E22" s="7" t="s">
        <v>127</v>
      </c>
      <c r="F22" s="7" t="s">
        <v>205</v>
      </c>
      <c r="G22" s="7" t="str">
        <f t="shared" si="7"/>
        <v>integer</v>
      </c>
      <c r="H22" s="58"/>
      <c r="I22" s="23" t="s">
        <v>127</v>
      </c>
      <c r="J22" s="24" t="s">
        <v>1106</v>
      </c>
      <c r="N22" s="78"/>
      <c r="O22" s="78"/>
      <c r="P22" s="78" t="str">
        <f t="shared" si="8"/>
        <v>,gyo_no</v>
      </c>
      <c r="Q22" s="78" t="str">
        <f t="shared" si="9"/>
        <v>INTEGER</v>
      </c>
      <c r="R22" s="78" t="str">
        <f t="shared" si="10"/>
        <v/>
      </c>
      <c r="S22" s="78" t="str">
        <f t="shared" si="11"/>
        <v>NOT NULL</v>
      </c>
      <c r="T22" s="78" t="str">
        <f t="shared" si="12"/>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milscm_2023_010.azn_202310_backup_merge_receiptc_re.gyo_no IS '行番号';</v>
      </c>
    </row>
    <row r="23" spans="2:45" s="25" customFormat="1">
      <c r="B23" s="21">
        <f t="shared" si="2"/>
        <v>11</v>
      </c>
      <c r="C23" s="13" t="s">
        <v>959</v>
      </c>
      <c r="D23" s="13" t="s">
        <v>960</v>
      </c>
      <c r="E23" s="7"/>
      <c r="F23" s="7" t="s">
        <v>868</v>
      </c>
      <c r="G23" s="7" t="str">
        <f t="shared" si="7"/>
        <v>text</v>
      </c>
      <c r="H23" s="58"/>
      <c r="I23" s="23"/>
      <c r="J23" s="24" t="s">
        <v>1107</v>
      </c>
      <c r="N23" s="78"/>
      <c r="O23" s="78"/>
      <c r="P23" s="78" t="str">
        <f t="shared" si="8"/>
        <v>,karute_no</v>
      </c>
      <c r="Q23" s="78" t="str">
        <f t="shared" si="9"/>
        <v>TEXT</v>
      </c>
      <c r="R23" s="78" t="str">
        <f t="shared" si="10"/>
        <v/>
      </c>
      <c r="S23" s="78" t="str">
        <f t="shared" si="11"/>
        <v/>
      </c>
      <c r="T23" s="78" t="str">
        <f t="shared" si="12"/>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milscm_2023_010.azn_202310_backup_merge_receiptc_re.karute_no IS 'カルテ番号等';</v>
      </c>
    </row>
    <row r="24" spans="2:45" s="25" customFormat="1">
      <c r="B24" s="21">
        <f t="shared" si="2"/>
        <v>12</v>
      </c>
      <c r="C24" s="13" t="s">
        <v>985</v>
      </c>
      <c r="D24" s="13" t="s">
        <v>986</v>
      </c>
      <c r="E24" s="7"/>
      <c r="F24" s="7" t="s">
        <v>868</v>
      </c>
      <c r="G24" s="7" t="str">
        <f t="shared" si="7"/>
        <v>text</v>
      </c>
      <c r="H24" s="58"/>
      <c r="I24" s="23"/>
      <c r="J24" s="24"/>
      <c r="N24" s="78"/>
      <c r="O24" s="78"/>
      <c r="P24" s="78" t="str">
        <f t="shared" si="8"/>
        <v>,receipt_type</v>
      </c>
      <c r="Q24" s="78" t="str">
        <f t="shared" si="9"/>
        <v>TEXT</v>
      </c>
      <c r="R24" s="78" t="str">
        <f t="shared" si="10"/>
        <v/>
      </c>
      <c r="S24" s="78" t="str">
        <f t="shared" si="11"/>
        <v/>
      </c>
      <c r="T24" s="78" t="str">
        <f t="shared" si="12"/>
        <v>-- レセプト種別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milscm_2023_010.azn_202310_backup_merge_receiptc_re.receipt_type IS 'レセプト種別';</v>
      </c>
    </row>
    <row r="25" spans="2:45" s="25" customFormat="1">
      <c r="B25" s="21">
        <f t="shared" si="2"/>
        <v>13</v>
      </c>
      <c r="C25" s="13" t="s">
        <v>987</v>
      </c>
      <c r="D25" s="13" t="s">
        <v>988</v>
      </c>
      <c r="E25" s="7"/>
      <c r="F25" s="7" t="s">
        <v>868</v>
      </c>
      <c r="G25" s="7" t="str">
        <f t="shared" si="7"/>
        <v>text</v>
      </c>
      <c r="H25" s="58"/>
      <c r="I25" s="23"/>
      <c r="J25" s="24" t="s">
        <v>1108</v>
      </c>
      <c r="N25" s="78"/>
      <c r="O25" s="78"/>
      <c r="P25" s="78" t="str">
        <f t="shared" si="8"/>
        <v>,name</v>
      </c>
      <c r="Q25" s="78" t="str">
        <f t="shared" si="9"/>
        <v>TEXT</v>
      </c>
      <c r="R25" s="78" t="str">
        <f t="shared" si="10"/>
        <v/>
      </c>
      <c r="S25" s="78" t="str">
        <f t="shared" si="11"/>
        <v/>
      </c>
      <c r="T25" s="78" t="str">
        <f t="shared" si="12"/>
        <v>-- 氏名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milscm_2023_010.azn_202310_backup_merge_receiptc_re.name IS '氏名';</v>
      </c>
    </row>
    <row r="26" spans="2:45" s="25" customFormat="1">
      <c r="B26" s="21">
        <f t="shared" si="2"/>
        <v>14</v>
      </c>
      <c r="C26" s="13" t="s">
        <v>989</v>
      </c>
      <c r="D26" s="13" t="s">
        <v>990</v>
      </c>
      <c r="E26" s="7"/>
      <c r="F26" s="7" t="s">
        <v>868</v>
      </c>
      <c r="G26" s="7" t="str">
        <f t="shared" si="7"/>
        <v>text</v>
      </c>
      <c r="H26" s="58"/>
      <c r="I26" s="23"/>
      <c r="J26" s="24" t="s">
        <v>1109</v>
      </c>
      <c r="N26" s="78"/>
      <c r="O26" s="78"/>
      <c r="P26" s="78" t="str">
        <f t="shared" si="8"/>
        <v>,sex_kubun</v>
      </c>
      <c r="Q26" s="78" t="str">
        <f t="shared" si="9"/>
        <v>TEXT</v>
      </c>
      <c r="R26" s="78" t="str">
        <f t="shared" si="10"/>
        <v/>
      </c>
      <c r="S26" s="78" t="str">
        <f t="shared" si="11"/>
        <v/>
      </c>
      <c r="T26" s="78" t="str">
        <f t="shared" si="12"/>
        <v>-- 男女区分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milscm_2023_010.azn_202310_backup_merge_receiptc_re.sex_kubun IS '男女区分';</v>
      </c>
    </row>
    <row r="27" spans="2:45" s="25" customFormat="1" ht="93.75">
      <c r="B27" s="21">
        <f t="shared" si="2"/>
        <v>15</v>
      </c>
      <c r="C27" s="13" t="s">
        <v>991</v>
      </c>
      <c r="D27" s="13" t="s">
        <v>323</v>
      </c>
      <c r="E27" s="7"/>
      <c r="F27" s="7" t="s">
        <v>868</v>
      </c>
      <c r="G27" s="7" t="str">
        <f t="shared" si="7"/>
        <v>text</v>
      </c>
      <c r="H27" s="58"/>
      <c r="I27" s="23"/>
      <c r="J27" s="24" t="s">
        <v>1110</v>
      </c>
      <c r="N27" s="78"/>
      <c r="O27" s="78"/>
      <c r="P27" s="78" t="str">
        <f t="shared" si="8"/>
        <v>,birthday</v>
      </c>
      <c r="Q27" s="78" t="str">
        <f t="shared" si="9"/>
        <v>TEXT</v>
      </c>
      <c r="R27" s="78" t="str">
        <f t="shared" si="10"/>
        <v/>
      </c>
      <c r="S27" s="78" t="str">
        <f t="shared" si="11"/>
        <v/>
      </c>
      <c r="T27" s="78" t="str">
        <f t="shared" si="12"/>
        <v>-- 生年月日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milscm_2023_010.azn_202310_backup_merge_receiptc_re.birthday IS '生年月日';</v>
      </c>
    </row>
    <row r="28" spans="2:45" s="25" customFormat="1">
      <c r="B28" s="21">
        <f t="shared" si="2"/>
        <v>16</v>
      </c>
      <c r="C28" s="13" t="s">
        <v>992</v>
      </c>
      <c r="D28" s="13" t="s">
        <v>993</v>
      </c>
      <c r="E28" s="7"/>
      <c r="F28" s="7" t="s">
        <v>205</v>
      </c>
      <c r="G28" s="7" t="str">
        <f t="shared" si="7"/>
        <v>integer</v>
      </c>
      <c r="H28" s="58"/>
      <c r="I28" s="23"/>
      <c r="J28" s="24"/>
      <c r="N28" s="78"/>
      <c r="O28" s="78"/>
      <c r="P28" s="78" t="str">
        <f t="shared" si="8"/>
        <v>,kyufu_wariai</v>
      </c>
      <c r="Q28" s="78" t="str">
        <f t="shared" si="9"/>
        <v>INTEGER</v>
      </c>
      <c r="R28" s="78" t="str">
        <f t="shared" si="10"/>
        <v/>
      </c>
      <c r="S28" s="78" t="str">
        <f t="shared" si="11"/>
        <v/>
      </c>
      <c r="T28" s="78" t="str">
        <f t="shared" si="12"/>
        <v>-- 給付割合</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milscm_2023_010.azn_202310_backup_merge_receiptc_re.kyufu_wariai IS '給付割合';</v>
      </c>
    </row>
    <row r="29" spans="2:45" s="25" customFormat="1" ht="75">
      <c r="B29" s="21">
        <f t="shared" si="2"/>
        <v>17</v>
      </c>
      <c r="C29" s="13" t="s">
        <v>871</v>
      </c>
      <c r="D29" s="13" t="s">
        <v>156</v>
      </c>
      <c r="E29" s="7"/>
      <c r="F29" s="7" t="s">
        <v>868</v>
      </c>
      <c r="G29" s="7" t="str">
        <f t="shared" si="7"/>
        <v>text</v>
      </c>
      <c r="H29" s="58"/>
      <c r="I29" s="23"/>
      <c r="J29" s="24" t="s">
        <v>1111</v>
      </c>
      <c r="N29" s="78"/>
      <c r="O29" s="78"/>
      <c r="P29" s="78" t="str">
        <f t="shared" si="8"/>
        <v>,nyuin_ymd</v>
      </c>
      <c r="Q29" s="78" t="str">
        <f t="shared" si="9"/>
        <v>TEXT</v>
      </c>
      <c r="R29" s="78" t="str">
        <f t="shared" si="10"/>
        <v/>
      </c>
      <c r="S29" s="78" t="str">
        <f t="shared" si="11"/>
        <v/>
      </c>
      <c r="T29" s="78" t="str">
        <f t="shared" si="12"/>
        <v>-- 入院年月日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milscm_2023_010.azn_202310_backup_merge_receiptc_re.nyuin_ymd IS '入院年月日';</v>
      </c>
    </row>
    <row r="30" spans="2:45" s="25" customFormat="1">
      <c r="B30" s="21">
        <f t="shared" si="2"/>
        <v>18</v>
      </c>
      <c r="C30" s="13" t="s">
        <v>994</v>
      </c>
      <c r="D30" s="13" t="s">
        <v>995</v>
      </c>
      <c r="E30" s="7"/>
      <c r="F30" s="7" t="s">
        <v>868</v>
      </c>
      <c r="G30" s="7" t="str">
        <f t="shared" si="7"/>
        <v>text</v>
      </c>
      <c r="H30" s="58"/>
      <c r="I30" s="23"/>
      <c r="J30" s="24" t="s">
        <v>1112</v>
      </c>
      <c r="N30" s="78"/>
      <c r="O30" s="78"/>
      <c r="P30" s="78" t="str">
        <f t="shared" si="8"/>
        <v>,ward_kubun1</v>
      </c>
      <c r="Q30" s="78" t="str">
        <f t="shared" si="9"/>
        <v>TEXT</v>
      </c>
      <c r="R30" s="78" t="str">
        <f t="shared" si="10"/>
        <v/>
      </c>
      <c r="S30" s="78" t="str">
        <f t="shared" si="11"/>
        <v/>
      </c>
      <c r="T30" s="78" t="str">
        <f t="shared" si="12"/>
        <v>-- 病棟区分1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milscm_2023_010.azn_202310_backup_merge_receiptc_re.ward_kubun1 IS '病棟区分1';</v>
      </c>
    </row>
    <row r="31" spans="2:45" s="25" customFormat="1">
      <c r="B31" s="21">
        <f t="shared" si="2"/>
        <v>19</v>
      </c>
      <c r="C31" s="13" t="s">
        <v>996</v>
      </c>
      <c r="D31" s="13" t="s">
        <v>997</v>
      </c>
      <c r="E31" s="7"/>
      <c r="F31" s="7" t="s">
        <v>868</v>
      </c>
      <c r="G31" s="7" t="str">
        <f t="shared" si="7"/>
        <v>text</v>
      </c>
      <c r="H31" s="58"/>
      <c r="I31" s="23"/>
      <c r="J31" s="24"/>
      <c r="N31" s="78"/>
      <c r="O31" s="78"/>
      <c r="P31" s="78" t="str">
        <f t="shared" si="8"/>
        <v>,ward_kubun2</v>
      </c>
      <c r="Q31" s="78" t="str">
        <f t="shared" si="9"/>
        <v>TEXT</v>
      </c>
      <c r="R31" s="78" t="str">
        <f t="shared" si="10"/>
        <v/>
      </c>
      <c r="S31" s="78" t="str">
        <f t="shared" si="11"/>
        <v/>
      </c>
      <c r="T31" s="78" t="str">
        <f t="shared" si="12"/>
        <v>-- 病棟区分2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milscm_2023_010.azn_202310_backup_merge_receiptc_re.ward_kubun2 IS '病棟区分2';</v>
      </c>
    </row>
    <row r="32" spans="2:45" s="25" customFormat="1">
      <c r="B32" s="21">
        <f t="shared" si="2"/>
        <v>20</v>
      </c>
      <c r="C32" s="13" t="s">
        <v>998</v>
      </c>
      <c r="D32" s="13" t="s">
        <v>999</v>
      </c>
      <c r="E32" s="7"/>
      <c r="F32" s="7" t="s">
        <v>868</v>
      </c>
      <c r="G32" s="7" t="str">
        <f t="shared" si="7"/>
        <v>text</v>
      </c>
      <c r="H32" s="58"/>
      <c r="I32" s="23"/>
      <c r="J32" s="24"/>
      <c r="N32" s="78"/>
      <c r="O32" s="78"/>
      <c r="P32" s="78" t="str">
        <f t="shared" si="8"/>
        <v>,ward_kubun3</v>
      </c>
      <c r="Q32" s="78" t="str">
        <f t="shared" si="9"/>
        <v>TEXT</v>
      </c>
      <c r="R32" s="78" t="str">
        <f t="shared" si="10"/>
        <v/>
      </c>
      <c r="S32" s="78" t="str">
        <f t="shared" si="11"/>
        <v/>
      </c>
      <c r="T32" s="78" t="str">
        <f t="shared" si="12"/>
        <v>-- 病棟区分3</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milscm_2023_010.azn_202310_backup_merge_receiptc_re.ward_kubun3 IS '病棟区分3';</v>
      </c>
    </row>
    <row r="33" spans="2:45" s="25" customFormat="1">
      <c r="B33" s="21">
        <f t="shared" si="2"/>
        <v>21</v>
      </c>
      <c r="C33" s="13" t="s">
        <v>1000</v>
      </c>
      <c r="D33" s="13" t="s">
        <v>1001</v>
      </c>
      <c r="E33" s="7"/>
      <c r="F33" s="7" t="s">
        <v>868</v>
      </c>
      <c r="G33" s="7" t="str">
        <f t="shared" si="7"/>
        <v>text</v>
      </c>
      <c r="H33" s="58"/>
      <c r="I33" s="23"/>
      <c r="J33" s="24"/>
      <c r="N33" s="78"/>
      <c r="O33" s="78"/>
      <c r="P33" s="78" t="str">
        <f t="shared" si="8"/>
        <v>,ward_kubun4</v>
      </c>
      <c r="Q33" s="78" t="str">
        <f t="shared" si="9"/>
        <v>TEXT</v>
      </c>
      <c r="R33" s="78" t="str">
        <f t="shared" si="10"/>
        <v/>
      </c>
      <c r="S33" s="78" t="str">
        <f t="shared" si="11"/>
        <v/>
      </c>
      <c r="T33" s="78" t="str">
        <f t="shared" si="12"/>
        <v>-- 病棟区分4</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milscm_2023_010.azn_202310_backup_merge_receiptc_re.ward_kubun4 IS '病棟区分4';</v>
      </c>
    </row>
    <row r="34" spans="2:45" s="25" customFormat="1" ht="31.5">
      <c r="B34" s="21">
        <f t="shared" si="2"/>
        <v>22</v>
      </c>
      <c r="C34" s="13" t="s">
        <v>1002</v>
      </c>
      <c r="D34" s="13" t="s">
        <v>1003</v>
      </c>
      <c r="E34" s="7"/>
      <c r="F34" s="7" t="s">
        <v>868</v>
      </c>
      <c r="G34" s="7" t="str">
        <f t="shared" si="7"/>
        <v>text</v>
      </c>
      <c r="H34" s="58"/>
      <c r="I34" s="23"/>
      <c r="J34" s="24"/>
      <c r="N34" s="78"/>
      <c r="O34" s="78"/>
      <c r="P34" s="78" t="str">
        <f t="shared" si="8"/>
        <v>,ichibu_futankin_kubun</v>
      </c>
      <c r="Q34" s="78" t="str">
        <f t="shared" si="9"/>
        <v>TEXT</v>
      </c>
      <c r="R34" s="78" t="str">
        <f t="shared" si="10"/>
        <v/>
      </c>
      <c r="S34" s="78" t="str">
        <f t="shared" si="11"/>
        <v/>
      </c>
      <c r="T34" s="78" t="str">
        <f t="shared" si="12"/>
        <v>-- 一部負担金・食事療養費・生活療養費標準負担額区分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milscm_2023_010.azn_202310_backup_merge_receiptc_re.ichibu_futankin_kubun IS '一部負担金・食事療養費・生活療養費標準負担額区分';</v>
      </c>
    </row>
    <row r="35" spans="2:45" s="25" customFormat="1">
      <c r="B35" s="21">
        <f t="shared" si="2"/>
        <v>23</v>
      </c>
      <c r="C35" s="13" t="s">
        <v>1004</v>
      </c>
      <c r="D35" s="13" t="s">
        <v>1005</v>
      </c>
      <c r="E35" s="7"/>
      <c r="F35" s="7" t="s">
        <v>868</v>
      </c>
      <c r="G35" s="7" t="str">
        <f t="shared" si="7"/>
        <v>text</v>
      </c>
      <c r="H35" s="58"/>
      <c r="I35" s="23"/>
      <c r="J35" s="24" t="s">
        <v>1113</v>
      </c>
      <c r="N35" s="78"/>
      <c r="O35" s="78"/>
      <c r="P35" s="78" t="str">
        <f t="shared" si="8"/>
        <v>,receipt_tokki_code1</v>
      </c>
      <c r="Q35" s="78" t="str">
        <f t="shared" si="9"/>
        <v>TEXT</v>
      </c>
      <c r="R35" s="78" t="str">
        <f t="shared" si="10"/>
        <v/>
      </c>
      <c r="S35" s="78" t="str">
        <f t="shared" si="11"/>
        <v/>
      </c>
      <c r="T35" s="78" t="str">
        <f t="shared" si="12"/>
        <v>-- レセプト特記事項1</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milscm_2023_010.azn_202310_backup_merge_receiptc_re.receipt_tokki_code1 IS 'レセプト特記事項1';</v>
      </c>
    </row>
    <row r="36" spans="2:45" s="25" customFormat="1">
      <c r="B36" s="21">
        <f t="shared" si="2"/>
        <v>24</v>
      </c>
      <c r="C36" s="13" t="s">
        <v>1006</v>
      </c>
      <c r="D36" s="13" t="s">
        <v>1007</v>
      </c>
      <c r="E36" s="7"/>
      <c r="F36" s="7" t="s">
        <v>868</v>
      </c>
      <c r="G36" s="7" t="str">
        <f t="shared" si="7"/>
        <v>text</v>
      </c>
      <c r="H36" s="58"/>
      <c r="I36" s="23"/>
      <c r="J36" s="24"/>
      <c r="N36" s="78"/>
      <c r="O36" s="78"/>
      <c r="P36" s="78" t="str">
        <f t="shared" si="8"/>
        <v>,receipt_tokki_code2</v>
      </c>
      <c r="Q36" s="78" t="str">
        <f t="shared" si="9"/>
        <v>TEXT</v>
      </c>
      <c r="R36" s="78" t="str">
        <f t="shared" si="10"/>
        <v/>
      </c>
      <c r="S36" s="78" t="str">
        <f t="shared" si="11"/>
        <v/>
      </c>
      <c r="T36" s="78" t="str">
        <f t="shared" si="12"/>
        <v>-- レセプト特記事項2</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milscm_2023_010.azn_202310_backup_merge_receiptc_re.receipt_tokki_code2 IS 'レセプト特記事項2';</v>
      </c>
    </row>
    <row r="37" spans="2:45" s="25" customFormat="1">
      <c r="B37" s="21">
        <f t="shared" si="2"/>
        <v>25</v>
      </c>
      <c r="C37" s="13" t="s">
        <v>1008</v>
      </c>
      <c r="D37" s="13" t="s">
        <v>1009</v>
      </c>
      <c r="E37" s="7"/>
      <c r="F37" s="7" t="s">
        <v>868</v>
      </c>
      <c r="G37" s="7" t="str">
        <f t="shared" si="7"/>
        <v>text</v>
      </c>
      <c r="H37" s="58"/>
      <c r="I37" s="23"/>
      <c r="J37" s="24"/>
      <c r="N37" s="78"/>
      <c r="O37" s="78"/>
      <c r="P37" s="78" t="str">
        <f t="shared" si="8"/>
        <v>,receipt_tokki_code3</v>
      </c>
      <c r="Q37" s="78" t="str">
        <f t="shared" si="9"/>
        <v>TEXT</v>
      </c>
      <c r="R37" s="78" t="str">
        <f t="shared" si="10"/>
        <v/>
      </c>
      <c r="S37" s="78" t="str">
        <f t="shared" si="11"/>
        <v/>
      </c>
      <c r="T37" s="78" t="str">
        <f t="shared" si="12"/>
        <v>-- レセプト特記事項3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milscm_2023_010.azn_202310_backup_merge_receiptc_re.receipt_tokki_code3 IS 'レセプト特記事項3';</v>
      </c>
    </row>
    <row r="38" spans="2:45" s="25" customFormat="1">
      <c r="B38" s="21">
        <f t="shared" si="2"/>
        <v>26</v>
      </c>
      <c r="C38" s="13" t="s">
        <v>1010</v>
      </c>
      <c r="D38" s="13" t="s">
        <v>1011</v>
      </c>
      <c r="E38" s="7"/>
      <c r="F38" s="7" t="s">
        <v>868</v>
      </c>
      <c r="G38" s="7" t="str">
        <f t="shared" si="7"/>
        <v>text</v>
      </c>
      <c r="H38" s="58"/>
      <c r="I38" s="23"/>
      <c r="J38" s="24"/>
      <c r="N38" s="78"/>
      <c r="O38" s="78"/>
      <c r="P38" s="78" t="str">
        <f t="shared" si="8"/>
        <v>,receipt_tokki_code4</v>
      </c>
      <c r="Q38" s="78" t="str">
        <f t="shared" si="9"/>
        <v>TEXT</v>
      </c>
      <c r="R38" s="78" t="str">
        <f t="shared" si="10"/>
        <v/>
      </c>
      <c r="S38" s="78" t="str">
        <f t="shared" si="11"/>
        <v/>
      </c>
      <c r="T38" s="78" t="str">
        <f t="shared" si="12"/>
        <v>-- レセプト特記事項4</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milscm_2023_010.azn_202310_backup_merge_receiptc_re.receipt_tokki_code4 IS 'レセプト特記事項4';</v>
      </c>
    </row>
    <row r="39" spans="2:45" s="25" customFormat="1">
      <c r="B39" s="21">
        <f t="shared" si="2"/>
        <v>27</v>
      </c>
      <c r="C39" s="13" t="s">
        <v>1012</v>
      </c>
      <c r="D39" s="13" t="s">
        <v>1013</v>
      </c>
      <c r="E39" s="7"/>
      <c r="F39" s="7" t="s">
        <v>868</v>
      </c>
      <c r="G39" s="7" t="str">
        <f t="shared" si="7"/>
        <v>text</v>
      </c>
      <c r="H39" s="58"/>
      <c r="I39" s="23"/>
      <c r="J39" s="24"/>
      <c r="N39" s="78"/>
      <c r="O39" s="78"/>
      <c r="P39" s="78" t="str">
        <f t="shared" si="8"/>
        <v>,receipt_tokki_code5</v>
      </c>
      <c r="Q39" s="78" t="str">
        <f t="shared" si="9"/>
        <v>TEXT</v>
      </c>
      <c r="R39" s="78" t="str">
        <f t="shared" si="10"/>
        <v/>
      </c>
      <c r="S39" s="78" t="str">
        <f t="shared" si="11"/>
        <v/>
      </c>
      <c r="T39" s="78" t="str">
        <f t="shared" si="12"/>
        <v>-- レセプト特記事項5</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milscm_2023_010.azn_202310_backup_merge_receiptc_re.receipt_tokki_code5 IS 'レセプト特記事項5';</v>
      </c>
    </row>
    <row r="40" spans="2:45" s="25" customFormat="1">
      <c r="B40" s="21">
        <f t="shared" si="2"/>
        <v>28</v>
      </c>
      <c r="C40" s="13" t="s">
        <v>1014</v>
      </c>
      <c r="D40" s="13" t="s">
        <v>1015</v>
      </c>
      <c r="E40" s="7"/>
      <c r="F40" s="7" t="s">
        <v>205</v>
      </c>
      <c r="G40" s="7" t="str">
        <f t="shared" si="7"/>
        <v>integer</v>
      </c>
      <c r="H40" s="58"/>
      <c r="I40" s="23"/>
      <c r="J40" s="24"/>
      <c r="N40" s="78"/>
      <c r="O40" s="78"/>
      <c r="P40" s="78" t="str">
        <f t="shared" si="8"/>
        <v>,bed_su</v>
      </c>
      <c r="Q40" s="78" t="str">
        <f t="shared" si="9"/>
        <v>INTEGER</v>
      </c>
      <c r="R40" s="78" t="str">
        <f t="shared" si="10"/>
        <v/>
      </c>
      <c r="S40" s="78" t="str">
        <f t="shared" si="11"/>
        <v/>
      </c>
      <c r="T40" s="78" t="str">
        <f t="shared" si="12"/>
        <v>-- 病床数</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milscm_2023_010.azn_202310_backup_merge_receiptc_re.bed_su IS '病床数';</v>
      </c>
    </row>
    <row r="41" spans="2:45" s="25" customFormat="1">
      <c r="B41" s="21">
        <f t="shared" si="2"/>
        <v>29</v>
      </c>
      <c r="C41" s="13" t="s">
        <v>1016</v>
      </c>
      <c r="D41" s="13" t="s">
        <v>1017</v>
      </c>
      <c r="E41" s="7"/>
      <c r="F41" s="7" t="s">
        <v>205</v>
      </c>
      <c r="G41" s="7" t="str">
        <f t="shared" si="7"/>
        <v>integer</v>
      </c>
      <c r="H41" s="58"/>
      <c r="I41" s="23"/>
      <c r="J41" s="24"/>
      <c r="N41" s="78"/>
      <c r="O41" s="78"/>
      <c r="P41" s="78" t="str">
        <f t="shared" si="8"/>
        <v>,waribiki_tensu</v>
      </c>
      <c r="Q41" s="78" t="str">
        <f t="shared" si="9"/>
        <v>INTEGER</v>
      </c>
      <c r="R41" s="78" t="str">
        <f t="shared" si="10"/>
        <v/>
      </c>
      <c r="S41" s="78" t="str">
        <f t="shared" si="11"/>
        <v/>
      </c>
      <c r="T41" s="78" t="str">
        <f t="shared" si="12"/>
        <v>-- 割引点数単価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milscm_2023_010.azn_202310_backup_merge_receiptc_re.waribiki_tensu IS '割引点数単価';</v>
      </c>
    </row>
    <row r="42" spans="2:45" s="25" customFormat="1">
      <c r="B42" s="21">
        <f t="shared" si="2"/>
        <v>30</v>
      </c>
      <c r="C42" s="13" t="s">
        <v>967</v>
      </c>
      <c r="D42" s="13" t="s">
        <v>968</v>
      </c>
      <c r="E42" s="7"/>
      <c r="F42" s="7" t="s">
        <v>868</v>
      </c>
      <c r="G42" s="7" t="str">
        <f t="shared" si="7"/>
        <v>text</v>
      </c>
      <c r="H42" s="58"/>
      <c r="I42" s="23"/>
      <c r="J42" s="24"/>
      <c r="N42" s="78"/>
      <c r="O42" s="78"/>
      <c r="P42" s="78" t="str">
        <f t="shared" si="8"/>
        <v>,reserve1</v>
      </c>
      <c r="Q42" s="78" t="str">
        <f t="shared" si="9"/>
        <v>TEXT</v>
      </c>
      <c r="R42" s="78" t="str">
        <f t="shared" si="10"/>
        <v/>
      </c>
      <c r="S42" s="78" t="str">
        <f t="shared" si="11"/>
        <v/>
      </c>
      <c r="T42" s="78" t="str">
        <f t="shared" si="12"/>
        <v>-- 予備1</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milscm_2023_010.azn_202310_backup_merge_receiptc_re.reserve1 IS '予備1';</v>
      </c>
    </row>
    <row r="43" spans="2:45" s="25" customFormat="1">
      <c r="B43" s="21">
        <f t="shared" si="2"/>
        <v>31</v>
      </c>
      <c r="C43" s="13" t="s">
        <v>1018</v>
      </c>
      <c r="D43" s="13" t="s">
        <v>1019</v>
      </c>
      <c r="E43" s="7"/>
      <c r="F43" s="7" t="s">
        <v>868</v>
      </c>
      <c r="G43" s="7" t="str">
        <f t="shared" si="7"/>
        <v>text</v>
      </c>
      <c r="H43" s="58"/>
      <c r="I43" s="23"/>
      <c r="J43" s="24"/>
      <c r="N43" s="78"/>
      <c r="O43" s="78"/>
      <c r="P43" s="78" t="str">
        <f t="shared" si="8"/>
        <v>,reserve2</v>
      </c>
      <c r="Q43" s="78" t="str">
        <f t="shared" si="9"/>
        <v>TEXT</v>
      </c>
      <c r="R43" s="78" t="str">
        <f t="shared" si="10"/>
        <v/>
      </c>
      <c r="S43" s="78" t="str">
        <f t="shared" si="11"/>
        <v/>
      </c>
      <c r="T43" s="78" t="str">
        <f t="shared" si="12"/>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milscm_2023_010.azn_202310_backup_merge_receiptc_re.reserve2 IS '予備2';</v>
      </c>
    </row>
    <row r="44" spans="2:45" s="25" customFormat="1">
      <c r="B44" s="21">
        <f t="shared" si="2"/>
        <v>32</v>
      </c>
      <c r="C44" s="13" t="s">
        <v>1020</v>
      </c>
      <c r="D44" s="13" t="s">
        <v>1021</v>
      </c>
      <c r="E44" s="7"/>
      <c r="F44" s="7" t="s">
        <v>868</v>
      </c>
      <c r="G44" s="7" t="str">
        <f t="shared" si="7"/>
        <v>text</v>
      </c>
      <c r="H44" s="58"/>
      <c r="I44" s="23"/>
      <c r="J44" s="24"/>
      <c r="N44" s="78"/>
      <c r="O44" s="78"/>
      <c r="P44" s="78" t="str">
        <f t="shared" si="8"/>
        <v>,reserve3</v>
      </c>
      <c r="Q44" s="78" t="str">
        <f t="shared" si="9"/>
        <v>TEXT</v>
      </c>
      <c r="R44" s="78" t="str">
        <f t="shared" si="10"/>
        <v/>
      </c>
      <c r="S44" s="78" t="str">
        <f t="shared" si="11"/>
        <v/>
      </c>
      <c r="T44" s="78" t="str">
        <f t="shared" si="12"/>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milscm_2023_010.azn_202310_backup_merge_receiptc_re.reserve3 IS '予備3';</v>
      </c>
    </row>
    <row r="45" spans="2:45" s="25" customFormat="1">
      <c r="B45" s="21">
        <f t="shared" si="2"/>
        <v>33</v>
      </c>
      <c r="C45" s="13" t="s">
        <v>1022</v>
      </c>
      <c r="D45" s="13" t="s">
        <v>1023</v>
      </c>
      <c r="E45" s="7"/>
      <c r="F45" s="7" t="s">
        <v>868</v>
      </c>
      <c r="G45" s="7" t="str">
        <f t="shared" si="7"/>
        <v>text</v>
      </c>
      <c r="H45" s="58"/>
      <c r="I45" s="23"/>
      <c r="J45" s="24"/>
      <c r="N45" s="78"/>
      <c r="O45" s="78"/>
      <c r="P45" s="78" t="str">
        <f t="shared" si="8"/>
        <v>,kensaku_no</v>
      </c>
      <c r="Q45" s="78" t="str">
        <f t="shared" si="9"/>
        <v>TEXT</v>
      </c>
      <c r="R45" s="78" t="str">
        <f t="shared" si="10"/>
        <v/>
      </c>
      <c r="S45" s="78" t="str">
        <f t="shared" si="11"/>
        <v/>
      </c>
      <c r="T45" s="78" t="str">
        <f t="shared" si="12"/>
        <v>-- 検索番号</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milscm_2023_010.azn_202310_backup_merge_receiptc_re.kensaku_no IS '検索番号';</v>
      </c>
    </row>
    <row r="46" spans="2:45" s="25" customFormat="1" ht="56.25">
      <c r="B46" s="21">
        <f t="shared" si="2"/>
        <v>34</v>
      </c>
      <c r="C46" s="13" t="s">
        <v>1024</v>
      </c>
      <c r="D46" s="13" t="s">
        <v>1025</v>
      </c>
      <c r="E46" s="7"/>
      <c r="F46" s="7" t="s">
        <v>868</v>
      </c>
      <c r="G46" s="7" t="str">
        <f t="shared" si="7"/>
        <v>text</v>
      </c>
      <c r="H46" s="58"/>
      <c r="I46" s="23"/>
      <c r="J46" s="24" t="s">
        <v>976</v>
      </c>
      <c r="N46" s="78"/>
      <c r="O46" s="78"/>
      <c r="P46" s="78" t="str">
        <f t="shared" si="8"/>
        <v>,kiroku_ym</v>
      </c>
      <c r="Q46" s="78" t="str">
        <f t="shared" si="9"/>
        <v>TEXT</v>
      </c>
      <c r="R46" s="78" t="str">
        <f t="shared" si="10"/>
        <v/>
      </c>
      <c r="S46" s="78" t="str">
        <f t="shared" si="11"/>
        <v/>
      </c>
      <c r="T46" s="78" t="str">
        <f t="shared" si="12"/>
        <v>-- 記録条件仕様年月情報</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milscm_2023_010.azn_202310_backup_merge_receiptc_re.kiroku_ym IS '記録条件仕様年月情報';</v>
      </c>
    </row>
    <row r="47" spans="2:45" s="25" customFormat="1">
      <c r="B47" s="21">
        <f t="shared" si="2"/>
        <v>35</v>
      </c>
      <c r="C47" s="13" t="s">
        <v>1026</v>
      </c>
      <c r="D47" s="13" t="s">
        <v>1027</v>
      </c>
      <c r="E47" s="7"/>
      <c r="F47" s="7" t="s">
        <v>868</v>
      </c>
      <c r="G47" s="7" t="str">
        <f t="shared" si="7"/>
        <v>text</v>
      </c>
      <c r="H47" s="58"/>
      <c r="I47" s="23"/>
      <c r="J47" s="24"/>
      <c r="N47" s="78"/>
      <c r="O47" s="78"/>
      <c r="P47" s="78" t="str">
        <f t="shared" si="8"/>
        <v>,seikyu_info</v>
      </c>
      <c r="Q47" s="78" t="str">
        <f t="shared" si="9"/>
        <v>TEXT</v>
      </c>
      <c r="R47" s="78" t="str">
        <f t="shared" si="10"/>
        <v/>
      </c>
      <c r="S47" s="78" t="str">
        <f t="shared" si="11"/>
        <v/>
      </c>
      <c r="T47" s="78" t="str">
        <f t="shared" si="12"/>
        <v>-- 請求情報</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milscm_2023_010.azn_202310_backup_merge_receiptc_re.seikyu_info IS '請求情報';</v>
      </c>
    </row>
    <row r="48" spans="2:45" s="25" customFormat="1">
      <c r="B48" s="21">
        <f t="shared" si="2"/>
        <v>36</v>
      </c>
      <c r="C48" s="13" t="s">
        <v>1028</v>
      </c>
      <c r="D48" s="13" t="s">
        <v>1029</v>
      </c>
      <c r="E48" s="7"/>
      <c r="F48" s="7" t="s">
        <v>868</v>
      </c>
      <c r="G48" s="7" t="str">
        <f t="shared" si="7"/>
        <v>text</v>
      </c>
      <c r="H48" s="58"/>
      <c r="I48" s="23"/>
      <c r="J48" s="24"/>
      <c r="N48" s="78"/>
      <c r="O48" s="78"/>
      <c r="P48" s="78" t="str">
        <f t="shared" si="8"/>
        <v>,department1_name</v>
      </c>
      <c r="Q48" s="78" t="str">
        <f t="shared" si="9"/>
        <v>TEXT</v>
      </c>
      <c r="R48" s="78" t="str">
        <f t="shared" si="10"/>
        <v/>
      </c>
      <c r="S48" s="78" t="str">
        <f t="shared" si="11"/>
        <v/>
      </c>
      <c r="T48" s="78" t="str">
        <f t="shared" si="12"/>
        <v>-- 診療科1診療科名</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milscm_2023_010.azn_202310_backup_merge_receiptc_re.department1_name IS '診療科1診療科名';</v>
      </c>
    </row>
    <row r="49" spans="2:45" s="25" customFormat="1">
      <c r="B49" s="21">
        <f t="shared" si="2"/>
        <v>37</v>
      </c>
      <c r="C49" s="13" t="s">
        <v>1030</v>
      </c>
      <c r="D49" s="13" t="s">
        <v>1031</v>
      </c>
      <c r="E49" s="7"/>
      <c r="F49" s="7" t="s">
        <v>868</v>
      </c>
      <c r="G49" s="7" t="str">
        <f t="shared" si="7"/>
        <v>text</v>
      </c>
      <c r="H49" s="58"/>
      <c r="I49" s="23"/>
      <c r="J49" s="24"/>
      <c r="N49" s="78"/>
      <c r="O49" s="78"/>
      <c r="P49" s="78" t="str">
        <f t="shared" si="8"/>
        <v>,department1_jintai</v>
      </c>
      <c r="Q49" s="78" t="str">
        <f t="shared" si="9"/>
        <v>TEXT</v>
      </c>
      <c r="R49" s="78" t="str">
        <f t="shared" si="10"/>
        <v/>
      </c>
      <c r="S49" s="78" t="str">
        <f t="shared" si="11"/>
        <v/>
      </c>
      <c r="T49" s="78" t="str">
        <f t="shared" si="12"/>
        <v>-- 診療科1人体の部位等</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milscm_2023_010.azn_202310_backup_merge_receiptc_re.department1_jintai IS '診療科1人体の部位等';</v>
      </c>
    </row>
    <row r="50" spans="2:45" s="25" customFormat="1">
      <c r="B50" s="21">
        <f t="shared" si="2"/>
        <v>38</v>
      </c>
      <c r="C50" s="13" t="s">
        <v>1032</v>
      </c>
      <c r="D50" s="13" t="s">
        <v>1033</v>
      </c>
      <c r="E50" s="7"/>
      <c r="F50" s="7" t="s">
        <v>868</v>
      </c>
      <c r="G50" s="7" t="str">
        <f t="shared" si="7"/>
        <v>text</v>
      </c>
      <c r="H50" s="58"/>
      <c r="I50" s="23"/>
      <c r="J50" s="24"/>
      <c r="N50" s="78"/>
      <c r="O50" s="78"/>
      <c r="P50" s="78" t="str">
        <f t="shared" si="8"/>
        <v>,department1_sex</v>
      </c>
      <c r="Q50" s="78" t="str">
        <f t="shared" si="9"/>
        <v>TEXT</v>
      </c>
      <c r="R50" s="78" t="str">
        <f t="shared" si="10"/>
        <v/>
      </c>
      <c r="S50" s="78" t="str">
        <f t="shared" si="11"/>
        <v/>
      </c>
      <c r="T50" s="78" t="str">
        <f t="shared" si="12"/>
        <v>-- 診療科1性別等</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milscm_2023_010.azn_202310_backup_merge_receiptc_re.department1_sex IS '診療科1性別等';</v>
      </c>
    </row>
    <row r="51" spans="2:45" s="25" customFormat="1">
      <c r="B51" s="21">
        <f t="shared" si="2"/>
        <v>39</v>
      </c>
      <c r="C51" s="13" t="s">
        <v>1034</v>
      </c>
      <c r="D51" s="13" t="s">
        <v>1035</v>
      </c>
      <c r="E51" s="7"/>
      <c r="F51" s="7" t="s">
        <v>868</v>
      </c>
      <c r="G51" s="7" t="str">
        <f t="shared" si="7"/>
        <v>text</v>
      </c>
      <c r="H51" s="58"/>
      <c r="I51" s="23"/>
      <c r="J51" s="24"/>
      <c r="N51" s="78"/>
      <c r="O51" s="78"/>
      <c r="P51" s="78" t="str">
        <f t="shared" si="8"/>
        <v>,department1_igaku</v>
      </c>
      <c r="Q51" s="78" t="str">
        <f t="shared" si="9"/>
        <v>TEXT</v>
      </c>
      <c r="R51" s="78" t="str">
        <f t="shared" si="10"/>
        <v/>
      </c>
      <c r="S51" s="78" t="str">
        <f t="shared" si="11"/>
        <v/>
      </c>
      <c r="T51" s="78" t="str">
        <f t="shared" si="12"/>
        <v>-- 診療科1医学的処置</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milscm_2023_010.azn_202310_backup_merge_receiptc_re.department1_igaku IS '診療科1医学的処置';</v>
      </c>
    </row>
    <row r="52" spans="2:45" s="25" customFormat="1">
      <c r="B52" s="21">
        <f t="shared" si="2"/>
        <v>40</v>
      </c>
      <c r="C52" s="13" t="s">
        <v>1036</v>
      </c>
      <c r="D52" s="13" t="s">
        <v>1037</v>
      </c>
      <c r="E52" s="7"/>
      <c r="F52" s="7" t="s">
        <v>868</v>
      </c>
      <c r="G52" s="7" t="str">
        <f t="shared" si="7"/>
        <v>text</v>
      </c>
      <c r="H52" s="58"/>
      <c r="I52" s="23"/>
      <c r="J52" s="24"/>
      <c r="N52" s="78"/>
      <c r="O52" s="78"/>
      <c r="P52" s="78" t="str">
        <f t="shared" si="8"/>
        <v>,department1_shippei</v>
      </c>
      <c r="Q52" s="78" t="str">
        <f t="shared" si="9"/>
        <v>TEXT</v>
      </c>
      <c r="R52" s="78" t="str">
        <f t="shared" si="10"/>
        <v/>
      </c>
      <c r="S52" s="78" t="str">
        <f t="shared" si="11"/>
        <v/>
      </c>
      <c r="T52" s="78" t="str">
        <f t="shared" si="12"/>
        <v>-- 診療科1特定疾病</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milscm_2023_010.azn_202310_backup_merge_receiptc_re.department1_shippei IS '診療科1特定疾病';</v>
      </c>
    </row>
    <row r="53" spans="2:45" s="25" customFormat="1">
      <c r="B53" s="21">
        <f t="shared" si="2"/>
        <v>41</v>
      </c>
      <c r="C53" s="13" t="s">
        <v>1038</v>
      </c>
      <c r="D53" s="13" t="s">
        <v>1039</v>
      </c>
      <c r="E53" s="7"/>
      <c r="F53" s="7" t="s">
        <v>868</v>
      </c>
      <c r="G53" s="7" t="str">
        <f t="shared" si="7"/>
        <v>text</v>
      </c>
      <c r="H53" s="58"/>
      <c r="I53" s="23"/>
      <c r="J53" s="24"/>
      <c r="N53" s="78"/>
      <c r="O53" s="78"/>
      <c r="P53" s="78" t="str">
        <f t="shared" si="8"/>
        <v>,department2_name</v>
      </c>
      <c r="Q53" s="78" t="str">
        <f t="shared" si="9"/>
        <v>TEXT</v>
      </c>
      <c r="R53" s="78" t="str">
        <f t="shared" si="10"/>
        <v/>
      </c>
      <c r="S53" s="78" t="str">
        <f t="shared" si="11"/>
        <v/>
      </c>
      <c r="T53" s="78" t="str">
        <f t="shared" si="12"/>
        <v>-- 診療科2診療科名</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milscm_2023_010.azn_202310_backup_merge_receiptc_re.department2_name IS '診療科2診療科名';</v>
      </c>
    </row>
    <row r="54" spans="2:45" s="25" customFormat="1">
      <c r="B54" s="21">
        <f t="shared" si="2"/>
        <v>42</v>
      </c>
      <c r="C54" s="13" t="s">
        <v>1040</v>
      </c>
      <c r="D54" s="13" t="s">
        <v>1041</v>
      </c>
      <c r="E54" s="7"/>
      <c r="F54" s="7" t="s">
        <v>868</v>
      </c>
      <c r="G54" s="7" t="str">
        <f t="shared" si="7"/>
        <v>text</v>
      </c>
      <c r="H54" s="58"/>
      <c r="I54" s="23"/>
      <c r="J54" s="24"/>
      <c r="N54" s="78"/>
      <c r="O54" s="78"/>
      <c r="P54" s="78" t="str">
        <f t="shared" si="8"/>
        <v>,department2_jintai</v>
      </c>
      <c r="Q54" s="78" t="str">
        <f t="shared" si="9"/>
        <v>TEXT</v>
      </c>
      <c r="R54" s="78" t="str">
        <f t="shared" si="10"/>
        <v/>
      </c>
      <c r="S54" s="78" t="str">
        <f t="shared" si="11"/>
        <v/>
      </c>
      <c r="T54" s="78" t="str">
        <f t="shared" si="12"/>
        <v>-- 診療科2人体の部位等</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milscm_2023_010.azn_202310_backup_merge_receiptc_re.department2_jintai IS '診療科2人体の部位等';</v>
      </c>
    </row>
    <row r="55" spans="2:45" s="25" customFormat="1">
      <c r="B55" s="21">
        <f t="shared" si="2"/>
        <v>43</v>
      </c>
      <c r="C55" s="13" t="s">
        <v>1042</v>
      </c>
      <c r="D55" s="13" t="s">
        <v>1043</v>
      </c>
      <c r="E55" s="7"/>
      <c r="F55" s="7" t="s">
        <v>868</v>
      </c>
      <c r="G55" s="7" t="str">
        <f t="shared" si="7"/>
        <v>text</v>
      </c>
      <c r="H55" s="58"/>
      <c r="I55" s="23"/>
      <c r="J55" s="24"/>
      <c r="N55" s="78"/>
      <c r="O55" s="78"/>
      <c r="P55" s="78" t="str">
        <f t="shared" si="8"/>
        <v>,department2_sex</v>
      </c>
      <c r="Q55" s="78" t="str">
        <f t="shared" si="9"/>
        <v>TEXT</v>
      </c>
      <c r="R55" s="78" t="str">
        <f t="shared" si="10"/>
        <v/>
      </c>
      <c r="S55" s="78" t="str">
        <f t="shared" si="11"/>
        <v/>
      </c>
      <c r="T55" s="78" t="str">
        <f t="shared" si="12"/>
        <v>-- 診療科2性別等</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milscm_2023_010.azn_202310_backup_merge_receiptc_re.department2_sex IS '診療科2性別等';</v>
      </c>
    </row>
    <row r="56" spans="2:45" s="25" customFormat="1">
      <c r="B56" s="21">
        <f t="shared" si="2"/>
        <v>44</v>
      </c>
      <c r="C56" s="13" t="s">
        <v>1044</v>
      </c>
      <c r="D56" s="13" t="s">
        <v>1045</v>
      </c>
      <c r="E56" s="7"/>
      <c r="F56" s="7" t="s">
        <v>868</v>
      </c>
      <c r="G56" s="7" t="str">
        <f t="shared" si="7"/>
        <v>text</v>
      </c>
      <c r="H56" s="58"/>
      <c r="I56" s="23"/>
      <c r="J56" s="24"/>
      <c r="N56" s="78"/>
      <c r="O56" s="78"/>
      <c r="P56" s="78" t="str">
        <f t="shared" si="8"/>
        <v>,department2_igaku</v>
      </c>
      <c r="Q56" s="78" t="str">
        <f t="shared" si="9"/>
        <v>TEXT</v>
      </c>
      <c r="R56" s="78" t="str">
        <f t="shared" si="10"/>
        <v/>
      </c>
      <c r="S56" s="78" t="str">
        <f t="shared" si="11"/>
        <v/>
      </c>
      <c r="T56" s="78" t="str">
        <f t="shared" si="12"/>
        <v>-- 診療科2医学的処置</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milscm_2023_010.azn_202310_backup_merge_receiptc_re.department2_igaku IS '診療科2医学的処置';</v>
      </c>
    </row>
    <row r="57" spans="2:45" s="25" customFormat="1">
      <c r="B57" s="21">
        <f t="shared" si="2"/>
        <v>45</v>
      </c>
      <c r="C57" s="13" t="s">
        <v>1046</v>
      </c>
      <c r="D57" s="13" t="s">
        <v>1047</v>
      </c>
      <c r="E57" s="7"/>
      <c r="F57" s="7" t="s">
        <v>868</v>
      </c>
      <c r="G57" s="7" t="str">
        <f t="shared" si="7"/>
        <v>text</v>
      </c>
      <c r="H57" s="58"/>
      <c r="I57" s="23"/>
      <c r="J57" s="24"/>
      <c r="N57" s="78"/>
      <c r="O57" s="78"/>
      <c r="P57" s="78" t="str">
        <f t="shared" si="8"/>
        <v>,department2_shippei</v>
      </c>
      <c r="Q57" s="78" t="str">
        <f t="shared" si="9"/>
        <v>TEXT</v>
      </c>
      <c r="R57" s="78" t="str">
        <f t="shared" si="10"/>
        <v/>
      </c>
      <c r="S57" s="78" t="str">
        <f t="shared" si="11"/>
        <v/>
      </c>
      <c r="T57" s="78" t="str">
        <f t="shared" si="12"/>
        <v>-- 診療科2特定疾病</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milscm_2023_010.azn_202310_backup_merge_receiptc_re.department2_shippei IS '診療科2特定疾病';</v>
      </c>
    </row>
    <row r="58" spans="2:45" s="25" customFormat="1">
      <c r="B58" s="21">
        <f t="shared" si="2"/>
        <v>46</v>
      </c>
      <c r="C58" s="13" t="s">
        <v>1048</v>
      </c>
      <c r="D58" s="13" t="s">
        <v>1049</v>
      </c>
      <c r="E58" s="7"/>
      <c r="F58" s="7" t="s">
        <v>868</v>
      </c>
      <c r="G58" s="7" t="str">
        <f t="shared" si="7"/>
        <v>text</v>
      </c>
      <c r="H58" s="58"/>
      <c r="I58" s="23"/>
      <c r="J58" s="24"/>
      <c r="N58" s="78"/>
      <c r="O58" s="78"/>
      <c r="P58" s="78" t="str">
        <f t="shared" si="8"/>
        <v>,department3_name</v>
      </c>
      <c r="Q58" s="78" t="str">
        <f t="shared" si="9"/>
        <v>TEXT</v>
      </c>
      <c r="R58" s="78" t="str">
        <f t="shared" si="10"/>
        <v/>
      </c>
      <c r="S58" s="78" t="str">
        <f t="shared" si="11"/>
        <v/>
      </c>
      <c r="T58" s="78" t="str">
        <f t="shared" si="12"/>
        <v>-- 診療科3診療科名</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milscm_2023_010.azn_202310_backup_merge_receiptc_re.department3_name IS '診療科3診療科名';</v>
      </c>
    </row>
    <row r="59" spans="2:45" s="25" customFormat="1">
      <c r="B59" s="21">
        <f t="shared" si="2"/>
        <v>47</v>
      </c>
      <c r="C59" s="13" t="s">
        <v>1050</v>
      </c>
      <c r="D59" s="13" t="s">
        <v>1051</v>
      </c>
      <c r="E59" s="7"/>
      <c r="F59" s="7" t="s">
        <v>868</v>
      </c>
      <c r="G59" s="7" t="str">
        <f t="shared" si="7"/>
        <v>text</v>
      </c>
      <c r="H59" s="58"/>
      <c r="I59" s="23"/>
      <c r="J59" s="24"/>
      <c r="N59" s="78"/>
      <c r="O59" s="78"/>
      <c r="P59" s="78" t="str">
        <f t="shared" si="8"/>
        <v>,department3_jintai</v>
      </c>
      <c r="Q59" s="78" t="str">
        <f t="shared" si="9"/>
        <v>TEXT</v>
      </c>
      <c r="R59" s="78" t="str">
        <f t="shared" si="10"/>
        <v/>
      </c>
      <c r="S59" s="78" t="str">
        <f t="shared" si="11"/>
        <v/>
      </c>
      <c r="T59" s="78" t="str">
        <f t="shared" si="12"/>
        <v>-- 診療科3人体の部位等</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milscm_2023_010.azn_202310_backup_merge_receiptc_re.department3_jintai IS '診療科3人体の部位等';</v>
      </c>
    </row>
    <row r="60" spans="2:45" s="25" customFormat="1">
      <c r="B60" s="21">
        <f t="shared" si="2"/>
        <v>48</v>
      </c>
      <c r="C60" s="13" t="s">
        <v>1052</v>
      </c>
      <c r="D60" s="13" t="s">
        <v>1053</v>
      </c>
      <c r="E60" s="7"/>
      <c r="F60" s="7" t="s">
        <v>868</v>
      </c>
      <c r="G60" s="7" t="str">
        <f t="shared" si="7"/>
        <v>text</v>
      </c>
      <c r="H60" s="58"/>
      <c r="I60" s="23"/>
      <c r="J60" s="24"/>
      <c r="N60" s="78"/>
      <c r="O60" s="78"/>
      <c r="P60" s="78" t="str">
        <f t="shared" si="8"/>
        <v>,department3_sex</v>
      </c>
      <c r="Q60" s="78" t="str">
        <f t="shared" si="9"/>
        <v>TEXT</v>
      </c>
      <c r="R60" s="78" t="str">
        <f t="shared" si="10"/>
        <v/>
      </c>
      <c r="S60" s="78" t="str">
        <f t="shared" si="11"/>
        <v/>
      </c>
      <c r="T60" s="78" t="str">
        <f t="shared" si="12"/>
        <v>-- 診療科3性別等</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milscm_2023_010.azn_202310_backup_merge_receiptc_re.department3_sex IS '診療科3性別等';</v>
      </c>
    </row>
    <row r="61" spans="2:45" s="25" customFormat="1">
      <c r="B61" s="21">
        <f t="shared" si="2"/>
        <v>49</v>
      </c>
      <c r="C61" s="13" t="s">
        <v>1054</v>
      </c>
      <c r="D61" s="13" t="s">
        <v>1055</v>
      </c>
      <c r="E61" s="7"/>
      <c r="F61" s="7" t="s">
        <v>868</v>
      </c>
      <c r="G61" s="7" t="str">
        <f t="shared" si="7"/>
        <v>text</v>
      </c>
      <c r="H61" s="58"/>
      <c r="I61" s="23"/>
      <c r="J61" s="24"/>
      <c r="N61" s="78"/>
      <c r="O61" s="78"/>
      <c r="P61" s="78" t="str">
        <f t="shared" si="8"/>
        <v>,department3_igaku</v>
      </c>
      <c r="Q61" s="78" t="str">
        <f t="shared" si="9"/>
        <v>TEXT</v>
      </c>
      <c r="R61" s="78" t="str">
        <f t="shared" si="10"/>
        <v/>
      </c>
      <c r="S61" s="78" t="str">
        <f t="shared" si="11"/>
        <v/>
      </c>
      <c r="T61" s="78" t="str">
        <f t="shared" si="12"/>
        <v>-- 診療科3医学的処置</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milscm_2023_010.azn_202310_backup_merge_receiptc_re.department3_igaku IS '診療科3医学的処置';</v>
      </c>
    </row>
    <row r="62" spans="2:45" s="25" customFormat="1">
      <c r="B62" s="21">
        <f t="shared" si="2"/>
        <v>50</v>
      </c>
      <c r="C62" s="13" t="s">
        <v>1056</v>
      </c>
      <c r="D62" s="13" t="s">
        <v>1057</v>
      </c>
      <c r="E62" s="7"/>
      <c r="F62" s="7" t="s">
        <v>868</v>
      </c>
      <c r="G62" s="7" t="str">
        <f t="shared" si="7"/>
        <v>text</v>
      </c>
      <c r="H62" s="58"/>
      <c r="I62" s="23"/>
      <c r="J62" s="24"/>
      <c r="N62" s="78"/>
      <c r="O62" s="78"/>
      <c r="P62" s="78" t="str">
        <f t="shared" si="8"/>
        <v>,department3_shippei</v>
      </c>
      <c r="Q62" s="78" t="str">
        <f t="shared" si="9"/>
        <v>TEXT</v>
      </c>
      <c r="R62" s="78" t="str">
        <f t="shared" si="10"/>
        <v/>
      </c>
      <c r="S62" s="78" t="str">
        <f t="shared" si="11"/>
        <v/>
      </c>
      <c r="T62" s="78" t="str">
        <f t="shared" si="12"/>
        <v>-- 診療科3特定疾病</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milscm_2023_010.azn_202310_backup_merge_receiptc_re.department3_shippei IS '診療科3特定疾病';</v>
      </c>
    </row>
    <row r="63" spans="2:45" s="25" customFormat="1">
      <c r="B63" s="21">
        <f t="shared" si="2"/>
        <v>51</v>
      </c>
      <c r="C63" s="13" t="s">
        <v>1058</v>
      </c>
      <c r="D63" s="13" t="s">
        <v>1059</v>
      </c>
      <c r="E63" s="7"/>
      <c r="F63" s="7" t="s">
        <v>868</v>
      </c>
      <c r="G63" s="7" t="str">
        <f t="shared" si="7"/>
        <v>text</v>
      </c>
      <c r="H63" s="58"/>
      <c r="I63" s="23"/>
      <c r="J63" s="24" t="s">
        <v>1108</v>
      </c>
      <c r="N63" s="78"/>
      <c r="O63" s="78"/>
      <c r="P63" s="78" t="str">
        <f t="shared" si="8"/>
        <v>,kana_name</v>
      </c>
      <c r="Q63" s="78" t="str">
        <f t="shared" si="9"/>
        <v>TEXT</v>
      </c>
      <c r="R63" s="78" t="str">
        <f t="shared" si="10"/>
        <v/>
      </c>
      <c r="S63" s="78" t="str">
        <f t="shared" si="11"/>
        <v/>
      </c>
      <c r="T63" s="78" t="str">
        <f t="shared" si="12"/>
        <v>-- カタカナ（氏名）</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milscm_2023_010.azn_202310_backup_merge_receiptc_re.kana_name IS 'カタカナ（氏名）';</v>
      </c>
    </row>
    <row r="64" spans="2:45" s="25" customFormat="1">
      <c r="B64" s="21">
        <f t="shared" si="2"/>
        <v>52</v>
      </c>
      <c r="C64" s="13" t="s">
        <v>1060</v>
      </c>
      <c r="D64" s="13" t="s">
        <v>1061</v>
      </c>
      <c r="E64" s="7"/>
      <c r="F64" s="7" t="s">
        <v>868</v>
      </c>
      <c r="G64" s="7" t="str">
        <f t="shared" si="7"/>
        <v>text</v>
      </c>
      <c r="H64" s="58"/>
      <c r="I64" s="23"/>
      <c r="J64" s="24" t="s">
        <v>1114</v>
      </c>
      <c r="N64" s="78"/>
      <c r="O64" s="78"/>
      <c r="P64" s="78" t="str">
        <f t="shared" si="8"/>
        <v>,patient_state1</v>
      </c>
      <c r="Q64" s="78" t="str">
        <f t="shared" si="9"/>
        <v>TEXT</v>
      </c>
      <c r="R64" s="78" t="str">
        <f t="shared" si="10"/>
        <v/>
      </c>
      <c r="S64" s="78" t="str">
        <f t="shared" si="11"/>
        <v/>
      </c>
      <c r="T64" s="78" t="str">
        <f t="shared" si="12"/>
        <v>-- 患者の状態1</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milscm_2023_010.azn_202310_backup_merge_receiptc_re.patient_state1 IS '患者の状態1';</v>
      </c>
    </row>
    <row r="65" spans="2:45" s="25" customFormat="1">
      <c r="B65" s="21">
        <f t="shared" si="2"/>
        <v>53</v>
      </c>
      <c r="C65" s="13" t="s">
        <v>1062</v>
      </c>
      <c r="D65" s="13" t="s">
        <v>1063</v>
      </c>
      <c r="E65" s="7"/>
      <c r="F65" s="7" t="s">
        <v>868</v>
      </c>
      <c r="G65" s="7" t="str">
        <f t="shared" si="7"/>
        <v>text</v>
      </c>
      <c r="H65" s="58"/>
      <c r="I65" s="23"/>
      <c r="J65" s="24"/>
      <c r="N65" s="78"/>
      <c r="O65" s="78"/>
      <c r="P65" s="78" t="str">
        <f t="shared" si="8"/>
        <v>,patient_state2</v>
      </c>
      <c r="Q65" s="78" t="str">
        <f t="shared" si="9"/>
        <v>TEXT</v>
      </c>
      <c r="R65" s="78" t="str">
        <f t="shared" si="10"/>
        <v/>
      </c>
      <c r="S65" s="78" t="str">
        <f t="shared" si="11"/>
        <v/>
      </c>
      <c r="T65" s="78" t="str">
        <f t="shared" si="12"/>
        <v>-- 患者の状態2</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milscm_2023_010.azn_202310_backup_merge_receiptc_re.patient_state2 IS '患者の状態2';</v>
      </c>
    </row>
    <row r="66" spans="2:45" s="25" customFormat="1">
      <c r="B66" s="21">
        <f t="shared" si="2"/>
        <v>54</v>
      </c>
      <c r="C66" s="13" t="s">
        <v>1064</v>
      </c>
      <c r="D66" s="13" t="s">
        <v>1065</v>
      </c>
      <c r="E66" s="7"/>
      <c r="F66" s="7" t="s">
        <v>868</v>
      </c>
      <c r="G66" s="7" t="str">
        <f t="shared" si="7"/>
        <v>text</v>
      </c>
      <c r="H66" s="58"/>
      <c r="I66" s="23"/>
      <c r="J66" s="24"/>
      <c r="N66" s="78"/>
      <c r="O66" s="78"/>
      <c r="P66" s="78" t="str">
        <f t="shared" si="8"/>
        <v>,patient_state3</v>
      </c>
      <c r="Q66" s="78" t="str">
        <f t="shared" si="9"/>
        <v>TEXT</v>
      </c>
      <c r="R66" s="78" t="str">
        <f t="shared" si="10"/>
        <v/>
      </c>
      <c r="S66" s="78" t="str">
        <f t="shared" si="11"/>
        <v/>
      </c>
      <c r="T66" s="78" t="str">
        <f t="shared" si="12"/>
        <v>-- 患者の状態3</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milscm_2023_010.azn_202310_backup_merge_receiptc_re.patient_state3 IS '患者の状態3';</v>
      </c>
    </row>
    <row r="67" spans="2:45" s="25" customFormat="1">
      <c r="B67" s="21">
        <f t="shared" si="2"/>
        <v>55</v>
      </c>
      <c r="C67" s="13" t="s">
        <v>1066</v>
      </c>
      <c r="D67" s="13" t="s">
        <v>1067</v>
      </c>
      <c r="E67" s="7"/>
      <c r="F67" s="7" t="s">
        <v>868</v>
      </c>
      <c r="G67" s="7" t="str">
        <f t="shared" si="7"/>
        <v>text</v>
      </c>
      <c r="H67" s="58"/>
      <c r="I67" s="23"/>
      <c r="J67" s="24"/>
      <c r="N67" s="78"/>
      <c r="O67" s="78"/>
      <c r="P67" s="78" t="str">
        <f t="shared" si="8"/>
        <v>,patient_state4</v>
      </c>
      <c r="Q67" s="78" t="str">
        <f t="shared" si="9"/>
        <v>TEXT</v>
      </c>
      <c r="R67" s="78" t="str">
        <f t="shared" si="10"/>
        <v/>
      </c>
      <c r="S67" s="78" t="str">
        <f t="shared" si="11"/>
        <v/>
      </c>
      <c r="T67" s="78" t="str">
        <f t="shared" si="12"/>
        <v>-- 患者の状態4</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milscm_2023_010.azn_202310_backup_merge_receiptc_re.patient_state4 IS '患者の状態4';</v>
      </c>
    </row>
    <row r="68" spans="2:45" s="25" customFormat="1">
      <c r="B68" s="21">
        <f t="shared" si="2"/>
        <v>56</v>
      </c>
      <c r="C68" s="13" t="s">
        <v>1068</v>
      </c>
      <c r="D68" s="13" t="s">
        <v>1069</v>
      </c>
      <c r="E68" s="7"/>
      <c r="F68" s="7" t="s">
        <v>868</v>
      </c>
      <c r="G68" s="7" t="str">
        <f t="shared" si="7"/>
        <v>text</v>
      </c>
      <c r="H68" s="58"/>
      <c r="I68" s="23"/>
      <c r="J68" s="24"/>
      <c r="N68" s="78"/>
      <c r="O68" s="78"/>
      <c r="P68" s="78" t="str">
        <f t="shared" si="8"/>
        <v>,patient_state5</v>
      </c>
      <c r="Q68" s="78" t="str">
        <f t="shared" si="9"/>
        <v>TEXT</v>
      </c>
      <c r="R68" s="78" t="str">
        <f t="shared" si="10"/>
        <v/>
      </c>
      <c r="S68" s="78" t="str">
        <f t="shared" si="11"/>
        <v/>
      </c>
      <c r="T68" s="78" t="str">
        <f t="shared" si="12"/>
        <v>-- 患者の状態5</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milscm_2023_010.azn_202310_backup_merge_receiptc_re.patient_state5 IS '患者の状態5';</v>
      </c>
    </row>
    <row r="69" spans="2:45" s="25" customFormat="1">
      <c r="B69" s="21">
        <f t="shared" si="2"/>
        <v>57</v>
      </c>
      <c r="C69" s="13" t="s">
        <v>1070</v>
      </c>
      <c r="D69" s="13" t="s">
        <v>1071</v>
      </c>
      <c r="E69" s="7"/>
      <c r="F69" s="7" t="s">
        <v>868</v>
      </c>
      <c r="G69" s="7" t="str">
        <f t="shared" si="7"/>
        <v>text</v>
      </c>
      <c r="H69" s="58"/>
      <c r="I69" s="23"/>
      <c r="J69" s="24"/>
      <c r="N69" s="78"/>
      <c r="O69" s="78"/>
      <c r="P69" s="78" t="str">
        <f t="shared" si="8"/>
        <v>,patient_state6</v>
      </c>
      <c r="Q69" s="78" t="str">
        <f t="shared" si="9"/>
        <v>TEXT</v>
      </c>
      <c r="R69" s="78" t="str">
        <f t="shared" si="10"/>
        <v/>
      </c>
      <c r="S69" s="78" t="str">
        <f t="shared" si="11"/>
        <v/>
      </c>
      <c r="T69" s="78" t="str">
        <f t="shared" si="12"/>
        <v>-- 患者の状態6</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milscm_2023_010.azn_202310_backup_merge_receiptc_re.patient_state6 IS '患者の状態6';</v>
      </c>
    </row>
    <row r="70" spans="2:45" s="25" customFormat="1">
      <c r="B70" s="21">
        <f t="shared" si="2"/>
        <v>58</v>
      </c>
      <c r="C70" s="13" t="s">
        <v>1072</v>
      </c>
      <c r="D70" s="13" t="s">
        <v>1073</v>
      </c>
      <c r="E70" s="7"/>
      <c r="F70" s="7" t="s">
        <v>868</v>
      </c>
      <c r="G70" s="7" t="str">
        <f t="shared" si="7"/>
        <v>text</v>
      </c>
      <c r="H70" s="58"/>
      <c r="I70" s="23"/>
      <c r="J70" s="24"/>
      <c r="N70" s="78"/>
      <c r="O70" s="78"/>
      <c r="P70" s="78" t="str">
        <f t="shared" si="8"/>
        <v>,patient_state7</v>
      </c>
      <c r="Q70" s="78" t="str">
        <f t="shared" si="9"/>
        <v>TEXT</v>
      </c>
      <c r="R70" s="78" t="str">
        <f t="shared" si="10"/>
        <v/>
      </c>
      <c r="S70" s="78" t="str">
        <f t="shared" si="11"/>
        <v/>
      </c>
      <c r="T70" s="78" t="str">
        <f t="shared" si="12"/>
        <v>-- 患者の状態7</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milscm_2023_010.azn_202310_backup_merge_receiptc_re.patient_state7 IS '患者の状態7';</v>
      </c>
    </row>
    <row r="71" spans="2:45" s="25" customFormat="1">
      <c r="B71" s="21">
        <f t="shared" si="2"/>
        <v>59</v>
      </c>
      <c r="C71" s="13" t="s">
        <v>1074</v>
      </c>
      <c r="D71" s="13" t="s">
        <v>1075</v>
      </c>
      <c r="E71" s="7"/>
      <c r="F71" s="7" t="s">
        <v>868</v>
      </c>
      <c r="G71" s="7" t="str">
        <f t="shared" si="7"/>
        <v>text</v>
      </c>
      <c r="H71" s="58"/>
      <c r="I71" s="23"/>
      <c r="J71" s="24"/>
      <c r="N71" s="78"/>
      <c r="O71" s="78"/>
      <c r="P71" s="78" t="str">
        <f t="shared" si="8"/>
        <v>,patient_state8</v>
      </c>
      <c r="Q71" s="78" t="str">
        <f t="shared" si="9"/>
        <v>TEXT</v>
      </c>
      <c r="R71" s="78" t="str">
        <f t="shared" si="10"/>
        <v/>
      </c>
      <c r="S71" s="78" t="str">
        <f t="shared" si="11"/>
        <v/>
      </c>
      <c r="T71" s="78" t="str">
        <f t="shared" si="12"/>
        <v>-- 患者の状態8</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milscm_2023_010.azn_202310_backup_merge_receiptc_re.patient_state8 IS '患者の状態8';</v>
      </c>
    </row>
    <row r="72" spans="2:45" s="25" customFormat="1">
      <c r="B72" s="21">
        <f t="shared" si="2"/>
        <v>60</v>
      </c>
      <c r="C72" s="13" t="s">
        <v>1076</v>
      </c>
      <c r="D72" s="13" t="s">
        <v>1077</v>
      </c>
      <c r="E72" s="7"/>
      <c r="F72" s="7" t="s">
        <v>868</v>
      </c>
      <c r="G72" s="7" t="str">
        <f t="shared" si="7"/>
        <v>text</v>
      </c>
      <c r="H72" s="58"/>
      <c r="I72" s="23"/>
      <c r="J72" s="24"/>
      <c r="N72" s="78"/>
      <c r="O72" s="78"/>
      <c r="P72" s="78" t="str">
        <f t="shared" si="8"/>
        <v>,patient_state9</v>
      </c>
      <c r="Q72" s="78" t="str">
        <f t="shared" si="9"/>
        <v>TEXT</v>
      </c>
      <c r="R72" s="78" t="str">
        <f t="shared" si="10"/>
        <v/>
      </c>
      <c r="S72" s="78" t="str">
        <f t="shared" si="11"/>
        <v/>
      </c>
      <c r="T72" s="78" t="str">
        <f t="shared" si="12"/>
        <v>-- 患者の状態9</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milscm_2023_010.azn_202310_backup_merge_receiptc_re.patient_state9 IS '患者の状態9';</v>
      </c>
    </row>
    <row r="73" spans="2:45" s="25" customFormat="1">
      <c r="B73" s="21">
        <f t="shared" si="2"/>
        <v>61</v>
      </c>
      <c r="C73" s="13" t="s">
        <v>1078</v>
      </c>
      <c r="D73" s="13" t="s">
        <v>1079</v>
      </c>
      <c r="E73" s="7"/>
      <c r="F73" s="7" t="s">
        <v>868</v>
      </c>
      <c r="G73" s="7" t="str">
        <f t="shared" si="7"/>
        <v>text</v>
      </c>
      <c r="H73" s="58"/>
      <c r="I73" s="23"/>
      <c r="J73" s="24"/>
      <c r="N73" s="78"/>
      <c r="O73" s="78"/>
      <c r="P73" s="78" t="str">
        <f t="shared" si="8"/>
        <v>,patient_state10</v>
      </c>
      <c r="Q73" s="78" t="str">
        <f t="shared" si="9"/>
        <v>TEXT</v>
      </c>
      <c r="R73" s="78" t="str">
        <f t="shared" si="10"/>
        <v/>
      </c>
      <c r="S73" s="78" t="str">
        <f t="shared" si="11"/>
        <v/>
      </c>
      <c r="T73" s="78" t="str">
        <f t="shared" si="12"/>
        <v>-- 患者の状態10</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milscm_2023_010.azn_202310_backup_merge_receiptc_re.patient_state10 IS '患者の状態10';</v>
      </c>
    </row>
    <row r="74" spans="2:45" s="25" customFormat="1">
      <c r="B74" s="21">
        <f t="shared" si="2"/>
        <v>62</v>
      </c>
      <c r="C74" s="13" t="s">
        <v>1080</v>
      </c>
      <c r="D74" s="13" t="s">
        <v>1081</v>
      </c>
      <c r="E74" s="7"/>
      <c r="F74" s="7" t="s">
        <v>868</v>
      </c>
      <c r="G74" s="7" t="str">
        <f t="shared" si="7"/>
        <v>text</v>
      </c>
      <c r="H74" s="58"/>
      <c r="I74" s="23"/>
      <c r="J74" s="24"/>
      <c r="N74" s="78"/>
      <c r="O74" s="78"/>
      <c r="P74" s="78" t="str">
        <f t="shared" si="8"/>
        <v>,patient_state11</v>
      </c>
      <c r="Q74" s="78" t="str">
        <f t="shared" si="9"/>
        <v>TEXT</v>
      </c>
      <c r="R74" s="78" t="str">
        <f t="shared" si="10"/>
        <v/>
      </c>
      <c r="S74" s="78" t="str">
        <f t="shared" si="11"/>
        <v/>
      </c>
      <c r="T74" s="78" t="str">
        <f t="shared" si="12"/>
        <v>-- 患者の状態11</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milscm_2023_010.azn_202310_backup_merge_receiptc_re.patient_state11 IS '患者の状態11';</v>
      </c>
    </row>
    <row r="75" spans="2:45" s="25" customFormat="1">
      <c r="B75" s="21">
        <f t="shared" si="2"/>
        <v>63</v>
      </c>
      <c r="C75" s="13" t="s">
        <v>1082</v>
      </c>
      <c r="D75" s="13" t="s">
        <v>1083</v>
      </c>
      <c r="E75" s="7"/>
      <c r="F75" s="7" t="s">
        <v>868</v>
      </c>
      <c r="G75" s="7" t="str">
        <f t="shared" si="7"/>
        <v>text</v>
      </c>
      <c r="H75" s="58"/>
      <c r="I75" s="23"/>
      <c r="J75" s="24"/>
      <c r="N75" s="78"/>
      <c r="O75" s="78"/>
      <c r="P75" s="78" t="str">
        <f t="shared" si="8"/>
        <v>,patient_state12</v>
      </c>
      <c r="Q75" s="78" t="str">
        <f t="shared" si="9"/>
        <v>TEXT</v>
      </c>
      <c r="R75" s="78" t="str">
        <f t="shared" si="10"/>
        <v/>
      </c>
      <c r="S75" s="78" t="str">
        <f t="shared" si="11"/>
        <v/>
      </c>
      <c r="T75" s="78" t="str">
        <f t="shared" si="12"/>
        <v>-- 患者の状態12</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milscm_2023_010.azn_202310_backup_merge_receiptc_re.patient_state12 IS '患者の状態12';</v>
      </c>
    </row>
    <row r="76" spans="2:45" s="25" customFormat="1">
      <c r="B76" s="21">
        <f t="shared" si="2"/>
        <v>64</v>
      </c>
      <c r="C76" s="13" t="s">
        <v>1084</v>
      </c>
      <c r="D76" s="13" t="s">
        <v>1085</v>
      </c>
      <c r="E76" s="7"/>
      <c r="F76" s="7" t="s">
        <v>868</v>
      </c>
      <c r="G76" s="7" t="str">
        <f t="shared" si="7"/>
        <v>text</v>
      </c>
      <c r="H76" s="58"/>
      <c r="I76" s="23"/>
      <c r="J76" s="24"/>
      <c r="N76" s="78"/>
      <c r="O76" s="78"/>
      <c r="P76" s="78" t="str">
        <f t="shared" si="8"/>
        <v>,patient_state13</v>
      </c>
      <c r="Q76" s="78" t="str">
        <f t="shared" si="9"/>
        <v>TEXT</v>
      </c>
      <c r="R76" s="78" t="str">
        <f t="shared" si="10"/>
        <v/>
      </c>
      <c r="S76" s="78" t="str">
        <f t="shared" si="11"/>
        <v/>
      </c>
      <c r="T76" s="78" t="str">
        <f t="shared" si="12"/>
        <v>-- 患者の状態13</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milscm_2023_010.azn_202310_backup_merge_receiptc_re.patient_state13 IS '患者の状態13';</v>
      </c>
    </row>
    <row r="77" spans="2:45" s="25" customFormat="1">
      <c r="B77" s="21">
        <f t="shared" si="2"/>
        <v>65</v>
      </c>
      <c r="C77" s="13" t="s">
        <v>1086</v>
      </c>
      <c r="D77" s="13" t="s">
        <v>1087</v>
      </c>
      <c r="E77" s="7"/>
      <c r="F77" s="7" t="s">
        <v>868</v>
      </c>
      <c r="G77" s="7" t="str">
        <f t="shared" si="7"/>
        <v>text</v>
      </c>
      <c r="H77" s="58"/>
      <c r="I77" s="23"/>
      <c r="J77" s="24"/>
      <c r="N77" s="78"/>
      <c r="O77" s="78"/>
      <c r="P77" s="78" t="str">
        <f t="shared" si="8"/>
        <v>,patient_state14</v>
      </c>
      <c r="Q77" s="78" t="str">
        <f t="shared" si="9"/>
        <v>TEXT</v>
      </c>
      <c r="R77" s="78" t="str">
        <f t="shared" si="10"/>
        <v/>
      </c>
      <c r="S77" s="78" t="str">
        <f t="shared" si="11"/>
        <v/>
      </c>
      <c r="T77" s="78" t="str">
        <f t="shared" si="12"/>
        <v>-- 患者の状態14</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milscm_2023_010.azn_202310_backup_merge_receiptc_re.patient_state14 IS '患者の状態14';</v>
      </c>
    </row>
    <row r="78" spans="2:45" s="25" customFormat="1">
      <c r="B78" s="21">
        <f t="shared" si="2"/>
        <v>66</v>
      </c>
      <c r="C78" s="13" t="s">
        <v>1088</v>
      </c>
      <c r="D78" s="13" t="s">
        <v>1089</v>
      </c>
      <c r="E78" s="7"/>
      <c r="F78" s="7" t="s">
        <v>868</v>
      </c>
      <c r="G78" s="7" t="str">
        <f t="shared" si="7"/>
        <v>text</v>
      </c>
      <c r="H78" s="58"/>
      <c r="I78" s="23"/>
      <c r="J78" s="24"/>
      <c r="N78" s="78"/>
      <c r="O78" s="78"/>
      <c r="P78" s="78" t="str">
        <f t="shared" si="8"/>
        <v>,patient_state15</v>
      </c>
      <c r="Q78" s="78" t="str">
        <f t="shared" si="9"/>
        <v>TEXT</v>
      </c>
      <c r="R78" s="78" t="str">
        <f t="shared" si="10"/>
        <v/>
      </c>
      <c r="S78" s="78" t="str">
        <f t="shared" si="11"/>
        <v/>
      </c>
      <c r="T78" s="78" t="str">
        <f t="shared" si="12"/>
        <v>-- 患者の状態15</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milscm_2023_010.azn_202310_backup_merge_receiptc_re.patient_state15 IS '患者の状態15';</v>
      </c>
    </row>
    <row r="79" spans="2:45" s="25" customFormat="1">
      <c r="B79" s="21">
        <f t="shared" si="2"/>
        <v>67</v>
      </c>
      <c r="C79" s="13" t="s">
        <v>1090</v>
      </c>
      <c r="D79" s="13" t="s">
        <v>1091</v>
      </c>
      <c r="E79" s="7"/>
      <c r="F79" s="7" t="s">
        <v>868</v>
      </c>
      <c r="G79" s="7" t="str">
        <f t="shared" si="7"/>
        <v>text</v>
      </c>
      <c r="H79" s="58"/>
      <c r="I79" s="23"/>
      <c r="J79" s="24"/>
      <c r="N79" s="78"/>
      <c r="O79" s="78"/>
      <c r="P79" s="78" t="str">
        <f t="shared" si="8"/>
        <v>,patient_state16</v>
      </c>
      <c r="Q79" s="78" t="str">
        <f t="shared" si="9"/>
        <v>TEXT</v>
      </c>
      <c r="R79" s="78" t="str">
        <f t="shared" si="10"/>
        <v/>
      </c>
      <c r="S79" s="78" t="str">
        <f t="shared" si="11"/>
        <v/>
      </c>
      <c r="T79" s="78" t="str">
        <f t="shared" si="12"/>
        <v>-- 患者の状態16</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milscm_2023_010.azn_202310_backup_merge_receiptc_re.patient_state16 IS '患者の状態16';</v>
      </c>
    </row>
    <row r="80" spans="2:45" s="25" customFormat="1">
      <c r="B80" s="21">
        <f t="shared" si="2"/>
        <v>68</v>
      </c>
      <c r="C80" s="13" t="s">
        <v>1092</v>
      </c>
      <c r="D80" s="13" t="s">
        <v>1093</v>
      </c>
      <c r="E80" s="7"/>
      <c r="F80" s="7" t="s">
        <v>868</v>
      </c>
      <c r="G80" s="7" t="str">
        <f t="shared" si="7"/>
        <v>text</v>
      </c>
      <c r="H80" s="58"/>
      <c r="I80" s="23"/>
      <c r="J80" s="24"/>
      <c r="N80" s="78"/>
      <c r="O80" s="78"/>
      <c r="P80" s="78" t="str">
        <f t="shared" si="8"/>
        <v>,patient_state17</v>
      </c>
      <c r="Q80" s="78" t="str">
        <f t="shared" si="9"/>
        <v>TEXT</v>
      </c>
      <c r="R80" s="78" t="str">
        <f t="shared" si="10"/>
        <v/>
      </c>
      <c r="S80" s="78" t="str">
        <f t="shared" si="11"/>
        <v/>
      </c>
      <c r="T80" s="78" t="str">
        <f t="shared" si="12"/>
        <v>-- 患者の状態17</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milscm_2023_010.azn_202310_backup_merge_receiptc_re.patient_state17 IS '患者の状態17';</v>
      </c>
    </row>
    <row r="81" spans="1:52" s="25" customFormat="1">
      <c r="B81" s="21">
        <f t="shared" si="2"/>
        <v>69</v>
      </c>
      <c r="C81" s="13" t="s">
        <v>1094</v>
      </c>
      <c r="D81" s="13" t="s">
        <v>1095</v>
      </c>
      <c r="E81" s="7"/>
      <c r="F81" s="7" t="s">
        <v>868</v>
      </c>
      <c r="G81" s="7" t="str">
        <f t="shared" ref="G81:G82" si="13">IF(F81="フラグ","boolean",IF(F81="文字列","text",IF(F81="整数","integer",IF(F81="実数","numeric",""))))</f>
        <v>text</v>
      </c>
      <c r="H81" s="58"/>
      <c r="I81" s="23"/>
      <c r="J81" s="24"/>
      <c r="N81" s="78"/>
      <c r="O81" s="78"/>
      <c r="P81" s="78" t="str">
        <f t="shared" ref="P81:P82" si="14">IF(B81&lt;&gt;1,","&amp;D81,D81)</f>
        <v>,patient_state18</v>
      </c>
      <c r="Q81" s="78" t="str">
        <f t="shared" ref="Q81:Q82" si="15">UPPER(G81)</f>
        <v>TEXT</v>
      </c>
      <c r="R81" s="78" t="str">
        <f t="shared" ref="R81:R82" si="16">IF(H81&lt;&gt;"","default "&amp;IF(G81="text","'"&amp;H81&amp;"'",H81),"")</f>
        <v/>
      </c>
      <c r="S81" s="78" t="str">
        <f t="shared" ref="S81:S82" si="17">IF(I81="○","NOT NULL","")</f>
        <v/>
      </c>
      <c r="T81" s="78" t="str">
        <f t="shared" ref="T81:T82" si="18">"-- "&amp;C81</f>
        <v>-- 患者の状態18</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milscm_2023_010.azn_202310_backup_merge_receiptc_re.patient_state18 IS '患者の状態18';</v>
      </c>
    </row>
    <row r="82" spans="1:52" s="25" customFormat="1">
      <c r="B82" s="21">
        <f t="shared" si="2"/>
        <v>70</v>
      </c>
      <c r="C82" s="13" t="s">
        <v>1096</v>
      </c>
      <c r="D82" s="13" t="s">
        <v>1097</v>
      </c>
      <c r="E82" s="7"/>
      <c r="F82" s="7" t="s">
        <v>868</v>
      </c>
      <c r="G82" s="7" t="str">
        <f t="shared" si="13"/>
        <v>text</v>
      </c>
      <c r="H82" s="58"/>
      <c r="I82" s="23"/>
      <c r="J82" s="24"/>
      <c r="N82" s="78"/>
      <c r="O82" s="78"/>
      <c r="P82" s="78" t="str">
        <f t="shared" si="14"/>
        <v>,patient_state19</v>
      </c>
      <c r="Q82" s="78" t="str">
        <f t="shared" si="15"/>
        <v>TEXT</v>
      </c>
      <c r="R82" s="78" t="str">
        <f t="shared" si="16"/>
        <v/>
      </c>
      <c r="S82" s="78" t="str">
        <f t="shared" si="17"/>
        <v/>
      </c>
      <c r="T82" s="78" t="str">
        <f t="shared" si="18"/>
        <v>-- 患者の状態19</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milscm_2023_010.azn_202310_backup_merge_receiptc_re.patient_state19 IS '患者の状態19';</v>
      </c>
    </row>
    <row r="83" spans="1:52" s="25" customFormat="1" ht="19.5" thickBot="1">
      <c r="A83" s="4"/>
      <c r="B83" s="27">
        <f>ROW()-12</f>
        <v>71</v>
      </c>
      <c r="C83" s="57" t="s">
        <v>1098</v>
      </c>
      <c r="D83" s="57" t="s">
        <v>1099</v>
      </c>
      <c r="E83" s="56"/>
      <c r="F83" s="56" t="s">
        <v>868</v>
      </c>
      <c r="G83" s="56" t="str">
        <f t="shared" si="3"/>
        <v>text</v>
      </c>
      <c r="H83" s="59"/>
      <c r="I83" s="60"/>
      <c r="J83" s="64"/>
      <c r="N83" s="78"/>
      <c r="O83" s="78"/>
      <c r="P83" s="78" t="str">
        <f t="shared" si="4"/>
        <v>,patient_state20</v>
      </c>
      <c r="Q83" s="78" t="str">
        <f t="shared" si="0"/>
        <v>TEXT</v>
      </c>
      <c r="R83" s="78" t="str">
        <f t="shared" si="1"/>
        <v/>
      </c>
      <c r="S83" s="78" t="str">
        <f t="shared" si="5"/>
        <v/>
      </c>
      <c r="T83" s="78" t="str">
        <f t="shared" si="6"/>
        <v>-- 患者の状態20</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milscm_2023_010.azn_202310_backup_merge_receiptc_re.patient_state20 IS '患者の状態20';</v>
      </c>
    </row>
    <row r="84" spans="1:52">
      <c r="L84" s="25"/>
      <c r="M84" s="25"/>
      <c r="N84" s="78" t="s">
        <v>142</v>
      </c>
      <c r="O84" s="78"/>
      <c r="P84" s="78"/>
      <c r="Q84" s="78"/>
      <c r="R84" s="78"/>
      <c r="S84" s="78"/>
      <c r="T84" s="78"/>
      <c r="V84" s="25"/>
      <c r="W84" s="25"/>
      <c r="X84" s="25"/>
      <c r="Y84" s="25"/>
      <c r="Z84" s="25"/>
      <c r="AJ84" s="78"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D00-000000000000}"/>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AZ7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ENT_01_C2-06</v>
      </c>
      <c r="E6" s="239"/>
      <c r="F6" s="239"/>
      <c r="G6" s="239"/>
      <c r="H6" s="239"/>
      <c r="I6" s="239"/>
      <c r="J6" s="240"/>
    </row>
    <row r="7" spans="1:45">
      <c r="B7" s="228" t="s">
        <v>115</v>
      </c>
      <c r="C7" s="229"/>
      <c r="D7" s="230" t="s">
        <v>1116</v>
      </c>
      <c r="E7" s="231"/>
      <c r="F7" s="231"/>
      <c r="G7" s="231"/>
      <c r="H7" s="231"/>
      <c r="I7" s="231"/>
      <c r="J7" s="232"/>
    </row>
    <row r="8" spans="1:45">
      <c r="B8" s="228" t="s">
        <v>116</v>
      </c>
      <c r="C8" s="229"/>
      <c r="D8" s="230" t="str">
        <f>エンティティ一覧!AE2&amp;"_"&amp;D5&amp;"_merge_receiptc_sy"</f>
        <v>azn_202310_backup_merge_receiptc_sy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milscm_2023_010.azn_202310_backup_merge_receiptc_sy;</v>
      </c>
      <c r="O10" s="78"/>
      <c r="P10" s="78"/>
      <c r="Q10" s="78"/>
      <c r="R10" s="78"/>
      <c r="S10" s="78"/>
      <c r="T10" s="78"/>
      <c r="AJ10" s="78" t="str">
        <f>"ALTER TABLE ONLY "&amp;エンティティ一覧!$O$2&amp;"."&amp;D$8</f>
        <v>ALTER TABLE ONLY milscm_2023_010.azn_202310_backup_merge_receiptc_sy</v>
      </c>
      <c r="AS10" s="78" t="str">
        <f>"ALTER TABLE "&amp;エンティティ一覧!$O$2&amp;"."&amp;D$8&amp;" OWNER TO pgmisgrp1;"</f>
        <v>ALTER TABLE milscm_2023_010.azn_202310_backup_merge_receiptc_sy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milscm_2023_010.azn_202310_backup_merge_receiptc_sy</v>
      </c>
      <c r="O11" s="78"/>
      <c r="P11" s="78"/>
      <c r="Q11" s="78"/>
      <c r="R11" s="78"/>
      <c r="S11" s="78"/>
      <c r="T11" s="78"/>
      <c r="AJ11" s="78" t="str">
        <f>"ADD CONSTRAINT "&amp;D$8&amp;"_pkey PRIMARY KEY"</f>
        <v>ADD CONSTRAINT azn_202310_backup_merge_receiptc_sy_pkey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milscm_2023_010.azn_202310_backup_merge_receiptc_sy IS 'バックアップ_医科レセプト_傷病名レコード';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9" si="0">UPPER(G13)</f>
        <v>TEXT</v>
      </c>
      <c r="R13" s="78" t="str">
        <f t="shared" ref="R13:R4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milscm_2023_010.azn_202310_backup_merge_receiptc_sy.torikomi_ym IS '取込年月';</v>
      </c>
    </row>
    <row r="14" spans="1:45" s="25" customFormat="1">
      <c r="A14" s="4"/>
      <c r="B14" s="21">
        <f t="shared" ref="B14:B48" si="2">ROW()-12</f>
        <v>2</v>
      </c>
      <c r="C14" s="6" t="s">
        <v>203</v>
      </c>
      <c r="D14" s="6" t="s">
        <v>204</v>
      </c>
      <c r="E14" s="8"/>
      <c r="F14" s="7" t="s">
        <v>205</v>
      </c>
      <c r="G14" s="7" t="str">
        <f t="shared" ref="G14:G49" si="3">IF(F14="フラグ","boolean",IF(F14="文字列","text",IF(F14="整数","integer",IF(F14="実数","numeric",""))))</f>
        <v>integer</v>
      </c>
      <c r="H14" s="26"/>
      <c r="I14" s="10"/>
      <c r="J14" s="11" t="s">
        <v>258</v>
      </c>
      <c r="M14" s="4"/>
      <c r="N14" s="78"/>
      <c r="O14" s="78"/>
      <c r="P14" s="78" t="str">
        <f t="shared" ref="P14:P4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49" si="5">IF(I16="○","NOT NULL","")</f>
        <v>NOT NULL</v>
      </c>
      <c r="T16" s="78" t="str">
        <f t="shared" ref="T16:T4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milscm_2023_010.azn_202310_backup_merge_receiptc_sy.seikyu_ym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milscm_2023_010.azn_202310_backup_merge_receiptc_sy.shinryo_ym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milscm_2023_010.azn_202310_backup_merge_receiptc_sy.data_type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milscm_2023_010.azn_202310_backup_merge_receiptc_sy.shinsa_kikan IS '審査支払機関';</v>
      </c>
    </row>
    <row r="20" spans="2:45" s="25" customFormat="1">
      <c r="B20" s="21">
        <f t="shared" si="2"/>
        <v>8</v>
      </c>
      <c r="C20" s="13" t="s">
        <v>953</v>
      </c>
      <c r="D20" s="13" t="s">
        <v>954</v>
      </c>
      <c r="E20" s="7"/>
      <c r="F20" s="7" t="s">
        <v>868</v>
      </c>
      <c r="G20" s="7" t="str">
        <f t="shared" si="3"/>
        <v>text</v>
      </c>
      <c r="H20" s="58" t="s">
        <v>1160</v>
      </c>
      <c r="I20" s="23" t="s">
        <v>127</v>
      </c>
      <c r="J20" s="24" t="s">
        <v>1161</v>
      </c>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milscm_2023_010.azn_202310_backup_merge_receiptc_sy.record_shikibetsu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milscm_2023_010.azn_202310_backup_merge_receiptc_sy.receipt_no IS 'レセプト番号';</v>
      </c>
    </row>
    <row r="22" spans="2:45"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milscm_2023_010.azn_202310_backup_merge_receiptc_sy.gyo_no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milscm_2023_010.azn_202310_backup_merge_receiptc_sy.karute_no IS 'カルテ番号等';</v>
      </c>
    </row>
    <row r="24" spans="2:45" s="25" customFormat="1">
      <c r="B24" s="21">
        <f t="shared" si="2"/>
        <v>12</v>
      </c>
      <c r="C24" s="13" t="s">
        <v>668</v>
      </c>
      <c r="D24" s="13" t="s">
        <v>875</v>
      </c>
      <c r="E24" s="7"/>
      <c r="F24" s="7" t="s">
        <v>868</v>
      </c>
      <c r="G24" s="7" t="str">
        <f t="shared" si="3"/>
        <v>text</v>
      </c>
      <c r="H24" s="58"/>
      <c r="I24" s="23"/>
      <c r="J24" s="24"/>
      <c r="N24" s="78"/>
      <c r="O24" s="78"/>
      <c r="P24" s="78" t="str">
        <f t="shared" si="4"/>
        <v>,shobyo_code</v>
      </c>
      <c r="Q24" s="78" t="str">
        <f t="shared" si="0"/>
        <v>TEXT</v>
      </c>
      <c r="R24" s="78" t="str">
        <f t="shared" si="1"/>
        <v/>
      </c>
      <c r="S24" s="78" t="str">
        <f t="shared" si="5"/>
        <v/>
      </c>
      <c r="T24" s="78" t="str">
        <f t="shared" si="6"/>
        <v>-- 傷病名コード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milscm_2023_010.azn_202310_backup_merge_receiptc_sy.shobyo_code IS '傷病名コード';</v>
      </c>
    </row>
    <row r="25" spans="2:45" s="25" customFormat="1" ht="75">
      <c r="B25" s="21">
        <f t="shared" si="2"/>
        <v>13</v>
      </c>
      <c r="C25" s="13" t="s">
        <v>1117</v>
      </c>
      <c r="D25" s="13" t="s">
        <v>1118</v>
      </c>
      <c r="E25" s="7"/>
      <c r="F25" s="7" t="s">
        <v>868</v>
      </c>
      <c r="G25" s="7" t="str">
        <f t="shared" si="3"/>
        <v>text</v>
      </c>
      <c r="H25" s="58"/>
      <c r="I25" s="23"/>
      <c r="J25" s="24" t="s">
        <v>1111</v>
      </c>
      <c r="N25" s="78"/>
      <c r="O25" s="78"/>
      <c r="P25" s="78" t="str">
        <f t="shared" si="4"/>
        <v>,shinryo_start_date</v>
      </c>
      <c r="Q25" s="78" t="str">
        <f t="shared" si="0"/>
        <v>TEXT</v>
      </c>
      <c r="R25" s="78" t="str">
        <f t="shared" si="1"/>
        <v/>
      </c>
      <c r="S25" s="78" t="str">
        <f t="shared" si="5"/>
        <v/>
      </c>
      <c r="T25" s="78" t="str">
        <f t="shared" si="6"/>
        <v>-- 診療開始日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milscm_2023_010.azn_202310_backup_merge_receiptc_sy.shinryo_start_date IS '診療開始日';</v>
      </c>
    </row>
    <row r="26" spans="2:45" s="25" customFormat="1">
      <c r="B26" s="21">
        <f t="shared" si="2"/>
        <v>14</v>
      </c>
      <c r="C26" s="13" t="s">
        <v>1119</v>
      </c>
      <c r="D26" s="13" t="s">
        <v>1120</v>
      </c>
      <c r="E26" s="7"/>
      <c r="F26" s="7" t="s">
        <v>868</v>
      </c>
      <c r="G26" s="7" t="str">
        <f t="shared" si="3"/>
        <v>text</v>
      </c>
      <c r="H26" s="58"/>
      <c r="I26" s="23"/>
      <c r="J26" s="24"/>
      <c r="N26" s="78"/>
      <c r="O26" s="78"/>
      <c r="P26" s="78" t="str">
        <f t="shared" si="4"/>
        <v>,tenki_kubun</v>
      </c>
      <c r="Q26" s="78" t="str">
        <f t="shared" si="0"/>
        <v>TEXT</v>
      </c>
      <c r="R26" s="78" t="str">
        <f t="shared" si="1"/>
        <v/>
      </c>
      <c r="S26" s="78" t="str">
        <f t="shared" si="5"/>
        <v/>
      </c>
      <c r="T26" s="78" t="str">
        <f t="shared" si="6"/>
        <v>-- 転帰区分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milscm_2023_010.azn_202310_backup_merge_receiptc_sy.tenki_kubun IS '転帰区分';</v>
      </c>
    </row>
    <row r="27" spans="2:45" s="25" customFormat="1">
      <c r="B27" s="21">
        <f t="shared" si="2"/>
        <v>15</v>
      </c>
      <c r="C27" s="13" t="s">
        <v>670</v>
      </c>
      <c r="D27" s="13" t="s">
        <v>876</v>
      </c>
      <c r="E27" s="7"/>
      <c r="F27" s="7" t="s">
        <v>868</v>
      </c>
      <c r="G27" s="7" t="str">
        <f t="shared" si="3"/>
        <v>text</v>
      </c>
      <c r="H27" s="58"/>
      <c r="I27" s="23"/>
      <c r="J27" s="24" t="s">
        <v>1163</v>
      </c>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milscm_2023_010.azn_202310_backup_merge_receiptc_sy.shushoku_code1 IS '修飾語コード1';</v>
      </c>
    </row>
    <row r="28" spans="2:45" s="25" customFormat="1">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milscm_2023_010.azn_202310_backup_merge_receiptc_sy.shushoku_code2 IS '修飾語コード2';</v>
      </c>
    </row>
    <row r="29" spans="2:45" s="25" customFormat="1">
      <c r="B29" s="21">
        <f t="shared" si="2"/>
        <v>17</v>
      </c>
      <c r="C29" s="13" t="s">
        <v>674</v>
      </c>
      <c r="D29" s="13" t="s">
        <v>878</v>
      </c>
      <c r="E29" s="7"/>
      <c r="F29" s="7" t="s">
        <v>868</v>
      </c>
      <c r="G29" s="7" t="str">
        <f t="shared" si="3"/>
        <v>text</v>
      </c>
      <c r="H29" s="58"/>
      <c r="I29" s="23"/>
      <c r="J29" s="24"/>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milscm_2023_010.azn_202310_backup_merge_receiptc_sy.shushoku_code3 IS '修飾語コード3';</v>
      </c>
    </row>
    <row r="30" spans="2:45" s="25" customFormat="1">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milscm_2023_010.azn_202310_backup_merge_receiptc_sy.shushoku_code4 IS '修飾語コード4';</v>
      </c>
    </row>
    <row r="31" spans="2:45" s="25" customFormat="1">
      <c r="B31" s="21">
        <f t="shared" si="2"/>
        <v>19</v>
      </c>
      <c r="C31" s="13" t="s">
        <v>1121</v>
      </c>
      <c r="D31" s="13" t="s">
        <v>1122</v>
      </c>
      <c r="E31" s="7"/>
      <c r="F31" s="7" t="s">
        <v>868</v>
      </c>
      <c r="G31" s="7" t="str">
        <f t="shared" si="3"/>
        <v>text</v>
      </c>
      <c r="H31" s="58"/>
      <c r="I31" s="23"/>
      <c r="J31" s="24"/>
      <c r="N31" s="78"/>
      <c r="O31" s="78"/>
      <c r="P31" s="78" t="str">
        <f t="shared" si="4"/>
        <v>,shushoku_code5</v>
      </c>
      <c r="Q31" s="78" t="str">
        <f t="shared" si="0"/>
        <v>TEXT</v>
      </c>
      <c r="R31" s="78" t="str">
        <f t="shared" si="1"/>
        <v/>
      </c>
      <c r="S31" s="78" t="str">
        <f t="shared" si="5"/>
        <v/>
      </c>
      <c r="T31" s="78" t="str">
        <f t="shared" si="6"/>
        <v>-- 修飾語コード5</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milscm_2023_010.azn_202310_backup_merge_receiptc_sy.shushoku_code5 IS '修飾語コード5';</v>
      </c>
    </row>
    <row r="32" spans="2:45" s="25" customFormat="1">
      <c r="B32" s="21">
        <f t="shared" si="2"/>
        <v>20</v>
      </c>
      <c r="C32" s="13" t="s">
        <v>1123</v>
      </c>
      <c r="D32" s="13" t="s">
        <v>1124</v>
      </c>
      <c r="E32" s="7"/>
      <c r="F32" s="7" t="s">
        <v>868</v>
      </c>
      <c r="G32" s="7" t="str">
        <f t="shared" si="3"/>
        <v>text</v>
      </c>
      <c r="H32" s="58"/>
      <c r="I32" s="23"/>
      <c r="J32" s="24"/>
      <c r="N32" s="78"/>
      <c r="O32" s="78"/>
      <c r="P32" s="78" t="str">
        <f t="shared" si="4"/>
        <v>,shushoku_code6</v>
      </c>
      <c r="Q32" s="78" t="str">
        <f t="shared" si="0"/>
        <v>TEXT</v>
      </c>
      <c r="R32" s="78" t="str">
        <f t="shared" si="1"/>
        <v/>
      </c>
      <c r="S32" s="78" t="str">
        <f t="shared" si="5"/>
        <v/>
      </c>
      <c r="T32" s="78" t="str">
        <f t="shared" si="6"/>
        <v>-- 修飾語コード6</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milscm_2023_010.azn_202310_backup_merge_receiptc_sy.shushoku_code6 IS '修飾語コード6';</v>
      </c>
    </row>
    <row r="33" spans="2:45" s="25" customFormat="1">
      <c r="B33" s="21">
        <f t="shared" si="2"/>
        <v>21</v>
      </c>
      <c r="C33" s="13" t="s">
        <v>1125</v>
      </c>
      <c r="D33" s="13" t="s">
        <v>1126</v>
      </c>
      <c r="E33" s="7"/>
      <c r="F33" s="7" t="s">
        <v>868</v>
      </c>
      <c r="G33" s="7" t="str">
        <f t="shared" si="3"/>
        <v>text</v>
      </c>
      <c r="H33" s="58"/>
      <c r="I33" s="23"/>
      <c r="J33" s="24"/>
      <c r="N33" s="78"/>
      <c r="O33" s="78"/>
      <c r="P33" s="78" t="str">
        <f t="shared" si="4"/>
        <v>,shushoku_code7</v>
      </c>
      <c r="Q33" s="78" t="str">
        <f t="shared" si="0"/>
        <v>TEXT</v>
      </c>
      <c r="R33" s="78" t="str">
        <f t="shared" si="1"/>
        <v/>
      </c>
      <c r="S33" s="78" t="str">
        <f t="shared" si="5"/>
        <v/>
      </c>
      <c r="T33" s="78" t="str">
        <f t="shared" si="6"/>
        <v>-- 修飾語コード7</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milscm_2023_010.azn_202310_backup_merge_receiptc_sy.shushoku_code7 IS '修飾語コード7';</v>
      </c>
    </row>
    <row r="34" spans="2:45" s="25" customFormat="1">
      <c r="B34" s="21">
        <f t="shared" si="2"/>
        <v>22</v>
      </c>
      <c r="C34" s="13" t="s">
        <v>1127</v>
      </c>
      <c r="D34" s="13" t="s">
        <v>1128</v>
      </c>
      <c r="E34" s="7"/>
      <c r="F34" s="7" t="s">
        <v>868</v>
      </c>
      <c r="G34" s="7" t="str">
        <f t="shared" si="3"/>
        <v>text</v>
      </c>
      <c r="H34" s="58"/>
      <c r="I34" s="23"/>
      <c r="J34" s="24"/>
      <c r="N34" s="78"/>
      <c r="O34" s="78"/>
      <c r="P34" s="78" t="str">
        <f t="shared" si="4"/>
        <v>,shushoku_code8</v>
      </c>
      <c r="Q34" s="78" t="str">
        <f t="shared" si="0"/>
        <v>TEXT</v>
      </c>
      <c r="R34" s="78" t="str">
        <f t="shared" si="1"/>
        <v/>
      </c>
      <c r="S34" s="78" t="str">
        <f t="shared" si="5"/>
        <v/>
      </c>
      <c r="T34" s="78" t="str">
        <f t="shared" si="6"/>
        <v>-- 修飾語コード8</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milscm_2023_010.azn_202310_backup_merge_receiptc_sy.shushoku_code8 IS '修飾語コード8';</v>
      </c>
    </row>
    <row r="35" spans="2:45" s="25" customFormat="1">
      <c r="B35" s="21">
        <f t="shared" si="2"/>
        <v>23</v>
      </c>
      <c r="C35" s="13" t="s">
        <v>1129</v>
      </c>
      <c r="D35" s="13" t="s">
        <v>1130</v>
      </c>
      <c r="E35" s="7"/>
      <c r="F35" s="7" t="s">
        <v>868</v>
      </c>
      <c r="G35" s="7" t="str">
        <f t="shared" si="3"/>
        <v>text</v>
      </c>
      <c r="H35" s="58"/>
      <c r="I35" s="23"/>
      <c r="J35" s="24"/>
      <c r="N35" s="78"/>
      <c r="O35" s="78"/>
      <c r="P35" s="78" t="str">
        <f t="shared" si="4"/>
        <v>,shushoku_code9</v>
      </c>
      <c r="Q35" s="78" t="str">
        <f t="shared" si="0"/>
        <v>TEXT</v>
      </c>
      <c r="R35" s="78" t="str">
        <f t="shared" si="1"/>
        <v/>
      </c>
      <c r="S35" s="78" t="str">
        <f t="shared" si="5"/>
        <v/>
      </c>
      <c r="T35" s="78" t="str">
        <f t="shared" si="6"/>
        <v>-- 修飾語コード9</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milscm_2023_010.azn_202310_backup_merge_receiptc_sy.shushoku_code9 IS '修飾語コード9';</v>
      </c>
    </row>
    <row r="36" spans="2:45" s="25" customFormat="1">
      <c r="B36" s="21">
        <f t="shared" si="2"/>
        <v>24</v>
      </c>
      <c r="C36" s="13" t="s">
        <v>1131</v>
      </c>
      <c r="D36" s="13" t="s">
        <v>1132</v>
      </c>
      <c r="E36" s="7"/>
      <c r="F36" s="7" t="s">
        <v>868</v>
      </c>
      <c r="G36" s="7" t="str">
        <f t="shared" si="3"/>
        <v>text</v>
      </c>
      <c r="H36" s="58"/>
      <c r="I36" s="23"/>
      <c r="J36" s="24"/>
      <c r="N36" s="78"/>
      <c r="O36" s="78"/>
      <c r="P36" s="78" t="str">
        <f t="shared" si="4"/>
        <v>,shushoku_code10</v>
      </c>
      <c r="Q36" s="78" t="str">
        <f t="shared" si="0"/>
        <v>TEXT</v>
      </c>
      <c r="R36" s="78" t="str">
        <f t="shared" si="1"/>
        <v/>
      </c>
      <c r="S36" s="78" t="str">
        <f t="shared" si="5"/>
        <v/>
      </c>
      <c r="T36" s="78" t="str">
        <f t="shared" si="6"/>
        <v>-- 修飾語コード10</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milscm_2023_010.azn_202310_backup_merge_receiptc_sy.shushoku_code10 IS '修飾語コード10';</v>
      </c>
    </row>
    <row r="37" spans="2:45" s="25" customFormat="1">
      <c r="B37" s="21">
        <f t="shared" si="2"/>
        <v>25</v>
      </c>
      <c r="C37" s="13" t="s">
        <v>1133</v>
      </c>
      <c r="D37" s="13" t="s">
        <v>1134</v>
      </c>
      <c r="E37" s="7"/>
      <c r="F37" s="7" t="s">
        <v>868</v>
      </c>
      <c r="G37" s="7" t="str">
        <f t="shared" si="3"/>
        <v>text</v>
      </c>
      <c r="H37" s="58"/>
      <c r="I37" s="23"/>
      <c r="J37" s="24"/>
      <c r="N37" s="78"/>
      <c r="O37" s="78"/>
      <c r="P37" s="78" t="str">
        <f t="shared" si="4"/>
        <v>,shushoku_code11</v>
      </c>
      <c r="Q37" s="78" t="str">
        <f t="shared" si="0"/>
        <v>TEXT</v>
      </c>
      <c r="R37" s="78" t="str">
        <f t="shared" si="1"/>
        <v/>
      </c>
      <c r="S37" s="78" t="str">
        <f t="shared" si="5"/>
        <v/>
      </c>
      <c r="T37" s="78" t="str">
        <f t="shared" si="6"/>
        <v>-- 修飾語コード11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milscm_2023_010.azn_202310_backup_merge_receiptc_sy.shushoku_code11 IS '修飾語コード11';</v>
      </c>
    </row>
    <row r="38" spans="2:45" s="25" customFormat="1">
      <c r="B38" s="21">
        <f t="shared" si="2"/>
        <v>26</v>
      </c>
      <c r="C38" s="13" t="s">
        <v>1135</v>
      </c>
      <c r="D38" s="13" t="s">
        <v>1136</v>
      </c>
      <c r="E38" s="7"/>
      <c r="F38" s="7" t="s">
        <v>868</v>
      </c>
      <c r="G38" s="7" t="str">
        <f t="shared" si="3"/>
        <v>text</v>
      </c>
      <c r="H38" s="58"/>
      <c r="I38" s="23"/>
      <c r="J38" s="24"/>
      <c r="N38" s="78"/>
      <c r="O38" s="78"/>
      <c r="P38" s="78" t="str">
        <f t="shared" si="4"/>
        <v>,shushoku_code12</v>
      </c>
      <c r="Q38" s="78" t="str">
        <f t="shared" si="0"/>
        <v>TEXT</v>
      </c>
      <c r="R38" s="78" t="str">
        <f t="shared" si="1"/>
        <v/>
      </c>
      <c r="S38" s="78" t="str">
        <f t="shared" si="5"/>
        <v/>
      </c>
      <c r="T38" s="78" t="str">
        <f t="shared" si="6"/>
        <v>-- 修飾語コード12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milscm_2023_010.azn_202310_backup_merge_receiptc_sy.shushoku_code12 IS '修飾語コード12';</v>
      </c>
    </row>
    <row r="39" spans="2:45" s="25" customFormat="1">
      <c r="B39" s="21">
        <f t="shared" si="2"/>
        <v>27</v>
      </c>
      <c r="C39" s="13" t="s">
        <v>1137</v>
      </c>
      <c r="D39" s="13" t="s">
        <v>1138</v>
      </c>
      <c r="E39" s="7"/>
      <c r="F39" s="7" t="s">
        <v>868</v>
      </c>
      <c r="G39" s="7" t="str">
        <f t="shared" si="3"/>
        <v>text</v>
      </c>
      <c r="H39" s="58"/>
      <c r="I39" s="23"/>
      <c r="J39" s="24"/>
      <c r="N39" s="78"/>
      <c r="O39" s="78"/>
      <c r="P39" s="78" t="str">
        <f t="shared" si="4"/>
        <v>,shushoku_code13</v>
      </c>
      <c r="Q39" s="78" t="str">
        <f t="shared" si="0"/>
        <v>TEXT</v>
      </c>
      <c r="R39" s="78" t="str">
        <f t="shared" si="1"/>
        <v/>
      </c>
      <c r="S39" s="78" t="str">
        <f t="shared" si="5"/>
        <v/>
      </c>
      <c r="T39" s="78" t="str">
        <f t="shared" si="6"/>
        <v>-- 修飾語コード13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milscm_2023_010.azn_202310_backup_merge_receiptc_sy.shushoku_code13 IS '修飾語コード13';</v>
      </c>
    </row>
    <row r="40" spans="2:45" s="25" customFormat="1">
      <c r="B40" s="21">
        <f t="shared" si="2"/>
        <v>28</v>
      </c>
      <c r="C40" s="13" t="s">
        <v>1139</v>
      </c>
      <c r="D40" s="13" t="s">
        <v>1140</v>
      </c>
      <c r="E40" s="7"/>
      <c r="F40" s="7" t="s">
        <v>868</v>
      </c>
      <c r="G40" s="7" t="str">
        <f t="shared" si="3"/>
        <v>text</v>
      </c>
      <c r="H40" s="58"/>
      <c r="I40" s="23"/>
      <c r="J40" s="24"/>
      <c r="N40" s="78"/>
      <c r="O40" s="78"/>
      <c r="P40" s="78" t="str">
        <f t="shared" si="4"/>
        <v>,shushoku_code14</v>
      </c>
      <c r="Q40" s="78" t="str">
        <f t="shared" si="0"/>
        <v>TEXT</v>
      </c>
      <c r="R40" s="78" t="str">
        <f t="shared" si="1"/>
        <v/>
      </c>
      <c r="S40" s="78" t="str">
        <f t="shared" si="5"/>
        <v/>
      </c>
      <c r="T40" s="78" t="str">
        <f t="shared" si="6"/>
        <v>-- 修飾語コード14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milscm_2023_010.azn_202310_backup_merge_receiptc_sy.shushoku_code14 IS '修飾語コード14';</v>
      </c>
    </row>
    <row r="41" spans="2:45" s="25" customFormat="1">
      <c r="B41" s="21">
        <f t="shared" si="2"/>
        <v>29</v>
      </c>
      <c r="C41" s="13" t="s">
        <v>1141</v>
      </c>
      <c r="D41" s="13" t="s">
        <v>1142</v>
      </c>
      <c r="E41" s="7"/>
      <c r="F41" s="7" t="s">
        <v>868</v>
      </c>
      <c r="G41" s="7" t="str">
        <f t="shared" si="3"/>
        <v>text</v>
      </c>
      <c r="H41" s="58"/>
      <c r="I41" s="23"/>
      <c r="J41" s="24"/>
      <c r="N41" s="78"/>
      <c r="O41" s="78"/>
      <c r="P41" s="78" t="str">
        <f t="shared" si="4"/>
        <v>,shushoku_code15</v>
      </c>
      <c r="Q41" s="78" t="str">
        <f t="shared" si="0"/>
        <v>TEXT</v>
      </c>
      <c r="R41" s="78" t="str">
        <f t="shared" si="1"/>
        <v/>
      </c>
      <c r="S41" s="78" t="str">
        <f t="shared" si="5"/>
        <v/>
      </c>
      <c r="T41" s="78" t="str">
        <f t="shared" si="6"/>
        <v>-- 修飾語コード15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milscm_2023_010.azn_202310_backup_merge_receiptc_sy.shushoku_code15 IS '修飾語コード15';</v>
      </c>
    </row>
    <row r="42" spans="2:45" s="25" customFormat="1">
      <c r="B42" s="21">
        <f t="shared" si="2"/>
        <v>30</v>
      </c>
      <c r="C42" s="13" t="s">
        <v>1143</v>
      </c>
      <c r="D42" s="13" t="s">
        <v>1144</v>
      </c>
      <c r="E42" s="7"/>
      <c r="F42" s="7" t="s">
        <v>868</v>
      </c>
      <c r="G42" s="7" t="str">
        <f t="shared" ref="G42:G47" si="7">IF(F42="フラグ","boolean",IF(F42="文字列","text",IF(F42="整数","integer",IF(F42="実数","numeric",""))))</f>
        <v>text</v>
      </c>
      <c r="H42" s="58"/>
      <c r="I42" s="23"/>
      <c r="J42" s="24"/>
      <c r="N42" s="78"/>
      <c r="O42" s="78"/>
      <c r="P42" s="78" t="str">
        <f t="shared" ref="P42:P47" si="8">IF(B42&lt;&gt;1,","&amp;D42,D42)</f>
        <v>,shushoku_code16</v>
      </c>
      <c r="Q42" s="78" t="str">
        <f t="shared" ref="Q42:Q47" si="9">UPPER(G42)</f>
        <v>TEXT</v>
      </c>
      <c r="R42" s="78" t="str">
        <f t="shared" ref="R42:R47" si="10">IF(H42&lt;&gt;"","default "&amp;IF(G42="text","'"&amp;H42&amp;"'",H42),"")</f>
        <v/>
      </c>
      <c r="S42" s="78" t="str">
        <f t="shared" ref="S42:S47" si="11">IF(I42="○","NOT NULL","")</f>
        <v/>
      </c>
      <c r="T42" s="78" t="str">
        <f t="shared" ref="T42:T47" si="12">"-- "&amp;C42</f>
        <v>-- 修飾語コード16</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milscm_2023_010.azn_202310_backup_merge_receiptc_sy.shushoku_code16 IS '修飾語コード16';</v>
      </c>
    </row>
    <row r="43" spans="2:45" s="25" customFormat="1">
      <c r="B43" s="21">
        <f t="shared" si="2"/>
        <v>31</v>
      </c>
      <c r="C43" s="13" t="s">
        <v>1145</v>
      </c>
      <c r="D43" s="13" t="s">
        <v>1146</v>
      </c>
      <c r="E43" s="7"/>
      <c r="F43" s="7" t="s">
        <v>868</v>
      </c>
      <c r="G43" s="7" t="str">
        <f t="shared" si="7"/>
        <v>text</v>
      </c>
      <c r="H43" s="58"/>
      <c r="I43" s="23"/>
      <c r="J43" s="24"/>
      <c r="N43" s="78"/>
      <c r="O43" s="78"/>
      <c r="P43" s="78" t="str">
        <f t="shared" si="8"/>
        <v>,shushoku_code17</v>
      </c>
      <c r="Q43" s="78" t="str">
        <f t="shared" si="9"/>
        <v>TEXT</v>
      </c>
      <c r="R43" s="78" t="str">
        <f t="shared" si="10"/>
        <v/>
      </c>
      <c r="S43" s="78" t="str">
        <f t="shared" si="11"/>
        <v/>
      </c>
      <c r="T43" s="78" t="str">
        <f t="shared" si="12"/>
        <v>-- 修飾語コード17</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milscm_2023_010.azn_202310_backup_merge_receiptc_sy.shushoku_code17 IS '修飾語コード17';</v>
      </c>
    </row>
    <row r="44" spans="2:45" s="25" customFormat="1">
      <c r="B44" s="21">
        <f t="shared" si="2"/>
        <v>32</v>
      </c>
      <c r="C44" s="13" t="s">
        <v>1147</v>
      </c>
      <c r="D44" s="13" t="s">
        <v>1148</v>
      </c>
      <c r="E44" s="7"/>
      <c r="F44" s="7" t="s">
        <v>868</v>
      </c>
      <c r="G44" s="7" t="str">
        <f t="shared" si="7"/>
        <v>text</v>
      </c>
      <c r="H44" s="58"/>
      <c r="I44" s="23"/>
      <c r="J44" s="24"/>
      <c r="N44" s="78"/>
      <c r="O44" s="78"/>
      <c r="P44" s="78" t="str">
        <f t="shared" si="8"/>
        <v>,shushoku_code18</v>
      </c>
      <c r="Q44" s="78" t="str">
        <f t="shared" si="9"/>
        <v>TEXT</v>
      </c>
      <c r="R44" s="78" t="str">
        <f t="shared" si="10"/>
        <v/>
      </c>
      <c r="S44" s="78" t="str">
        <f t="shared" si="11"/>
        <v/>
      </c>
      <c r="T44" s="78" t="str">
        <f t="shared" si="12"/>
        <v>-- 修飾語コード18</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milscm_2023_010.azn_202310_backup_merge_receiptc_sy.shushoku_code18 IS '修飾語コード18';</v>
      </c>
    </row>
    <row r="45" spans="2:45" s="25" customFormat="1">
      <c r="B45" s="21">
        <f t="shared" si="2"/>
        <v>33</v>
      </c>
      <c r="C45" s="13" t="s">
        <v>1149</v>
      </c>
      <c r="D45" s="13" t="s">
        <v>1150</v>
      </c>
      <c r="E45" s="7"/>
      <c r="F45" s="7" t="s">
        <v>868</v>
      </c>
      <c r="G45" s="7" t="str">
        <f t="shared" si="7"/>
        <v>text</v>
      </c>
      <c r="H45" s="58"/>
      <c r="I45" s="23"/>
      <c r="J45" s="24"/>
      <c r="N45" s="78"/>
      <c r="O45" s="78"/>
      <c r="P45" s="78" t="str">
        <f t="shared" si="8"/>
        <v>,shushoku_code19</v>
      </c>
      <c r="Q45" s="78" t="str">
        <f t="shared" si="9"/>
        <v>TEXT</v>
      </c>
      <c r="R45" s="78" t="str">
        <f t="shared" si="10"/>
        <v/>
      </c>
      <c r="S45" s="78" t="str">
        <f t="shared" si="11"/>
        <v/>
      </c>
      <c r="T45" s="78" t="str">
        <f t="shared" si="12"/>
        <v>-- 修飾語コード19</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milscm_2023_010.azn_202310_backup_merge_receiptc_sy.shushoku_code19 IS '修飾語コード19';</v>
      </c>
    </row>
    <row r="46" spans="2:45" s="25" customFormat="1">
      <c r="B46" s="21">
        <f t="shared" si="2"/>
        <v>34</v>
      </c>
      <c r="C46" s="13" t="s">
        <v>1151</v>
      </c>
      <c r="D46" s="13" t="s">
        <v>1152</v>
      </c>
      <c r="E46" s="7"/>
      <c r="F46" s="7" t="s">
        <v>868</v>
      </c>
      <c r="G46" s="7" t="str">
        <f t="shared" si="7"/>
        <v>text</v>
      </c>
      <c r="H46" s="58"/>
      <c r="I46" s="23"/>
      <c r="J46" s="24"/>
      <c r="N46" s="78"/>
      <c r="O46" s="78"/>
      <c r="P46" s="78" t="str">
        <f t="shared" si="8"/>
        <v>,shushoku_code20</v>
      </c>
      <c r="Q46" s="78" t="str">
        <f t="shared" si="9"/>
        <v>TEXT</v>
      </c>
      <c r="R46" s="78" t="str">
        <f t="shared" si="10"/>
        <v/>
      </c>
      <c r="S46" s="78" t="str">
        <f t="shared" si="11"/>
        <v/>
      </c>
      <c r="T46" s="78" t="str">
        <f t="shared" si="12"/>
        <v>-- 修飾語コード20</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milscm_2023_010.azn_202310_backup_merge_receiptc_sy.shushoku_code20 IS '修飾語コード20';</v>
      </c>
    </row>
    <row r="47" spans="2:45" s="25" customFormat="1">
      <c r="B47" s="21">
        <f t="shared" si="2"/>
        <v>35</v>
      </c>
      <c r="C47" s="13" t="s">
        <v>1153</v>
      </c>
      <c r="D47" s="13" t="s">
        <v>1154</v>
      </c>
      <c r="E47" s="7"/>
      <c r="F47" s="7" t="s">
        <v>868</v>
      </c>
      <c r="G47" s="7" t="str">
        <f t="shared" si="7"/>
        <v>text</v>
      </c>
      <c r="H47" s="58"/>
      <c r="I47" s="23"/>
      <c r="J47" s="24"/>
      <c r="N47" s="78"/>
      <c r="O47" s="78"/>
      <c r="P47" s="78" t="str">
        <f t="shared" si="8"/>
        <v>,shobyo_name</v>
      </c>
      <c r="Q47" s="78" t="str">
        <f t="shared" si="9"/>
        <v>TEXT</v>
      </c>
      <c r="R47" s="78" t="str">
        <f t="shared" si="10"/>
        <v/>
      </c>
      <c r="S47" s="78" t="str">
        <f t="shared" si="11"/>
        <v/>
      </c>
      <c r="T47" s="78" t="str">
        <f t="shared" si="12"/>
        <v>-- 傷病名称</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milscm_2023_010.azn_202310_backup_merge_receiptc_sy.shobyo_name IS '傷病名称';</v>
      </c>
    </row>
    <row r="48" spans="2:45" s="25" customFormat="1">
      <c r="B48" s="21">
        <f t="shared" si="2"/>
        <v>36</v>
      </c>
      <c r="C48" s="13" t="s">
        <v>1155</v>
      </c>
      <c r="D48" s="13" t="s">
        <v>1156</v>
      </c>
      <c r="E48" s="7"/>
      <c r="F48" s="7" t="s">
        <v>868</v>
      </c>
      <c r="G48" s="7" t="str">
        <f t="shared" si="3"/>
        <v>text</v>
      </c>
      <c r="H48" s="58"/>
      <c r="I48" s="23"/>
      <c r="J48" s="24"/>
      <c r="N48" s="78"/>
      <c r="O48" s="78"/>
      <c r="P48" s="78" t="str">
        <f t="shared" si="4"/>
        <v>,main_shobyo_code</v>
      </c>
      <c r="Q48" s="78" t="str">
        <f t="shared" si="0"/>
        <v>TEXT</v>
      </c>
      <c r="R48" s="78" t="str">
        <f t="shared" si="1"/>
        <v/>
      </c>
      <c r="S48" s="78" t="str">
        <f t="shared" si="5"/>
        <v/>
      </c>
      <c r="T48" s="78" t="str">
        <f t="shared" si="6"/>
        <v>-- 主傷病</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milscm_2023_010.azn_202310_backup_merge_receiptc_sy.main_shobyo_code IS '主傷病';</v>
      </c>
    </row>
    <row r="49" spans="1:52" s="25" customFormat="1" ht="19.5" thickBot="1">
      <c r="A49" s="4"/>
      <c r="B49" s="27">
        <f>ROW()-12</f>
        <v>37</v>
      </c>
      <c r="C49" s="57" t="s">
        <v>1157</v>
      </c>
      <c r="D49" s="57" t="s">
        <v>1158</v>
      </c>
      <c r="E49" s="56"/>
      <c r="F49" s="56" t="s">
        <v>868</v>
      </c>
      <c r="G49" s="56" t="str">
        <f t="shared" si="3"/>
        <v>text</v>
      </c>
      <c r="H49" s="59"/>
      <c r="I49" s="60"/>
      <c r="J49" s="64"/>
      <c r="N49" s="78"/>
      <c r="O49" s="78"/>
      <c r="P49" s="78" t="str">
        <f t="shared" si="4"/>
        <v>,hosoku_comment</v>
      </c>
      <c r="Q49" s="78" t="str">
        <f t="shared" si="0"/>
        <v>TEXT</v>
      </c>
      <c r="R49" s="78" t="str">
        <f t="shared" si="1"/>
        <v/>
      </c>
      <c r="S49" s="78" t="str">
        <f t="shared" si="5"/>
        <v/>
      </c>
      <c r="T49" s="78" t="str">
        <f t="shared" si="6"/>
        <v>-- 補足コメント</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milscm_2023_010.azn_202310_backup_merge_receiptc_sy.hosoku_comment IS '補足コメント';</v>
      </c>
    </row>
    <row r="50" spans="1:52">
      <c r="L50" s="25"/>
      <c r="M50" s="25"/>
      <c r="N50" s="78" t="s">
        <v>142</v>
      </c>
      <c r="O50" s="78"/>
      <c r="P50" s="78"/>
      <c r="Q50" s="78"/>
      <c r="R50" s="78"/>
      <c r="S50" s="78"/>
      <c r="T50" s="78"/>
      <c r="V50" s="25"/>
      <c r="W50" s="25"/>
      <c r="X50" s="25"/>
      <c r="Y50" s="25"/>
      <c r="Z50" s="25"/>
      <c r="AJ50" s="78"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E00-000000000000}"/>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ENT_01_C2-07</v>
      </c>
      <c r="E6" s="239"/>
      <c r="F6" s="239"/>
      <c r="G6" s="239"/>
      <c r="H6" s="239"/>
      <c r="I6" s="239"/>
      <c r="J6" s="240"/>
    </row>
    <row r="7" spans="1:45">
      <c r="B7" s="228" t="s">
        <v>115</v>
      </c>
      <c r="C7" s="229"/>
      <c r="D7" s="230" t="s">
        <v>1165</v>
      </c>
      <c r="E7" s="231"/>
      <c r="F7" s="231"/>
      <c r="G7" s="231"/>
      <c r="H7" s="231"/>
      <c r="I7" s="231"/>
      <c r="J7" s="232"/>
    </row>
    <row r="8" spans="1:45">
      <c r="B8" s="228" t="s">
        <v>116</v>
      </c>
      <c r="C8" s="229"/>
      <c r="D8" s="230" t="str">
        <f>エンティティ一覧!AE2&amp;"_"&amp;D5&amp;"_merge_receiptc_si"</f>
        <v>azn_202310_backup_merge_receiptc_si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milscm_2023_010.azn_202310_backup_merge_receiptc_si;</v>
      </c>
      <c r="O10" s="78"/>
      <c r="P10" s="78"/>
      <c r="Q10" s="78"/>
      <c r="R10" s="78"/>
      <c r="S10" s="78"/>
      <c r="T10" s="78"/>
      <c r="AJ10" s="78" t="str">
        <f>"ALTER TABLE ONLY "&amp;エンティティ一覧!$O$2&amp;"."&amp;D$8</f>
        <v>ALTER TABLE ONLY milscm_2023_010.azn_202310_backup_merge_receiptc_si</v>
      </c>
      <c r="AS10" s="78" t="str">
        <f>"ALTER TABLE "&amp;エンティティ一覧!$O$2&amp;"."&amp;D$8&amp;" OWNER TO pgmisgrp1;"</f>
        <v>ALTER TABLE milscm_2023_010.azn_202310_backup_merge_receiptc_si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milscm_2023_010.azn_202310_backup_merge_receiptc_si</v>
      </c>
      <c r="O11" s="78"/>
      <c r="P11" s="78"/>
      <c r="Q11" s="78"/>
      <c r="R11" s="78"/>
      <c r="S11" s="78"/>
      <c r="T11" s="78"/>
      <c r="AJ11" s="78" t="str">
        <f>"ADD CONSTRAINT "&amp;D$8&amp;"_pkey PRIMARY KEY"</f>
        <v>ADD CONSTRAINT azn_202310_backup_merge_receiptc_si_pkey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milscm_2023_010.azn_202310_backup_merge_receiptc_si IS 'バックアップ_医科レセプト_診療行為レコード';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milscm_2023_010.azn_202310_backup_merge_receiptc_si.torikomi_ym IS '取込年月';</v>
      </c>
    </row>
    <row r="14" spans="1:45" s="25" customFormat="1">
      <c r="A14" s="4"/>
      <c r="B14" s="21">
        <f t="shared" ref="B14:B34" si="2">ROW()-12</f>
        <v>2</v>
      </c>
      <c r="C14" s="6" t="s">
        <v>203</v>
      </c>
      <c r="D14" s="6" t="s">
        <v>204</v>
      </c>
      <c r="E14" s="8"/>
      <c r="F14" s="7" t="s">
        <v>205</v>
      </c>
      <c r="G14" s="7" t="str">
        <f t="shared" ref="G14:G35" si="3">IF(F14="フラグ","boolean",IF(F14="文字列","text",IF(F14="整数","integer",IF(F14="実数","numeric",""))))</f>
        <v>integer</v>
      </c>
      <c r="H14" s="26"/>
      <c r="I14" s="10"/>
      <c r="J14" s="11" t="s">
        <v>258</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milscm_2023_010.azn_202310_backup_merge_receiptc_si.mil_karute_id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milscm_2023_010.azn_202310_backup_merge_receiptc_si.facility_id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milscm_2023_010.azn_202310_backup_merge_receiptc_si.seikyu_ym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milscm_2023_010.azn_202310_backup_merge_receiptc_si.shinryo_ym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milscm_2023_010.azn_202310_backup_merge_receiptc_si.data_type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milscm_2023_010.azn_202310_backup_merge_receiptc_si.shinsa_kikan IS '審査支払機関';</v>
      </c>
    </row>
    <row r="20" spans="2:45"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milscm_2023_010.azn_202310_backup_merge_receiptc_si.record_shikibetsu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milscm_2023_010.azn_202310_backup_merge_receiptc_si.receipt_no IS 'レセプト番号';</v>
      </c>
    </row>
    <row r="22" spans="2:45"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milscm_2023_010.azn_202310_backup_merge_receiptc_si.gyo_no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milscm_2023_010.azn_202310_backup_merge_receiptc_si.karute_no IS 'カルテ番号等';</v>
      </c>
    </row>
    <row r="24" spans="2:45" s="25" customFormat="1">
      <c r="B24" s="21">
        <f t="shared" si="2"/>
        <v>12</v>
      </c>
      <c r="C24" s="13" t="s">
        <v>1166</v>
      </c>
      <c r="D24" s="13" t="s">
        <v>1167</v>
      </c>
      <c r="E24" s="7"/>
      <c r="F24" s="7" t="s">
        <v>868</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milscm_2023_010.azn_202310_backup_merge_receiptc_si.shinryo_shikibetsu IS '診療識別';</v>
      </c>
    </row>
    <row r="25" spans="2:45" s="25" customFormat="1">
      <c r="B25" s="21">
        <f t="shared" si="2"/>
        <v>13</v>
      </c>
      <c r="C25" s="13" t="s">
        <v>1168</v>
      </c>
      <c r="D25" s="13" t="s">
        <v>1169</v>
      </c>
      <c r="E25" s="7"/>
      <c r="F25" s="7" t="s">
        <v>868</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milscm_2023_010.azn_202310_backup_merge_receiptc_si.futan_kubun IS '負担区分';</v>
      </c>
    </row>
    <row r="26" spans="2:45" s="25" customFormat="1">
      <c r="B26" s="21">
        <f t="shared" si="2"/>
        <v>14</v>
      </c>
      <c r="C26" s="13" t="s">
        <v>1170</v>
      </c>
      <c r="D26" s="13" t="s">
        <v>1171</v>
      </c>
      <c r="E26" s="7"/>
      <c r="F26" s="7" t="s">
        <v>868</v>
      </c>
      <c r="G26" s="7" t="str">
        <f t="shared" si="3"/>
        <v>text</v>
      </c>
      <c r="H26" s="58"/>
      <c r="I26" s="23"/>
      <c r="J26" s="24"/>
      <c r="N26" s="78"/>
      <c r="O26" s="78"/>
      <c r="P26" s="78" t="str">
        <f t="shared" si="4"/>
        <v>,shinryo_koi_code</v>
      </c>
      <c r="Q26" s="78" t="str">
        <f t="shared" si="0"/>
        <v>TEXT</v>
      </c>
      <c r="R26" s="78" t="str">
        <f t="shared" si="1"/>
        <v/>
      </c>
      <c r="S26" s="78" t="str">
        <f t="shared" si="5"/>
        <v/>
      </c>
      <c r="T26" s="78" t="str">
        <f t="shared" si="6"/>
        <v>-- 診療行為コード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milscm_2023_010.azn_202310_backup_merge_receiptc_si.shinryo_koi_code IS '診療行為コード';</v>
      </c>
    </row>
    <row r="27" spans="2:45" s="25" customFormat="1">
      <c r="B27" s="21">
        <f t="shared" si="2"/>
        <v>15</v>
      </c>
      <c r="C27" s="13" t="s">
        <v>1172</v>
      </c>
      <c r="D27" s="13" t="s">
        <v>1173</v>
      </c>
      <c r="E27" s="7"/>
      <c r="F27" s="7" t="s">
        <v>205</v>
      </c>
      <c r="G27" s="7" t="str">
        <f t="shared" si="3"/>
        <v>integer</v>
      </c>
      <c r="H27" s="58"/>
      <c r="I27" s="23"/>
      <c r="J27" s="24"/>
      <c r="N27" s="78"/>
      <c r="O27" s="78"/>
      <c r="P27" s="78" t="str">
        <f t="shared" si="4"/>
        <v>,suryo_data</v>
      </c>
      <c r="Q27" s="78" t="str">
        <f t="shared" si="0"/>
        <v>INTEGER</v>
      </c>
      <c r="R27" s="78" t="str">
        <f t="shared" si="1"/>
        <v/>
      </c>
      <c r="S27" s="78" t="str">
        <f t="shared" si="5"/>
        <v/>
      </c>
      <c r="T27" s="78" t="str">
        <f t="shared" si="6"/>
        <v>-- 数量データ</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milscm_2023_010.azn_202310_backup_merge_receiptc_si.suryo_data IS '数量データ';</v>
      </c>
    </row>
    <row r="28" spans="2:45" s="25" customFormat="1">
      <c r="B28" s="21">
        <f t="shared" si="2"/>
        <v>16</v>
      </c>
      <c r="C28" s="13" t="s">
        <v>1174</v>
      </c>
      <c r="D28" s="13" t="s">
        <v>1175</v>
      </c>
      <c r="E28" s="7"/>
      <c r="F28" s="7" t="s">
        <v>205</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milscm_2023_010.azn_202310_backup_merge_receiptc_si.tensu IS '点数';</v>
      </c>
    </row>
    <row r="29" spans="2:45" s="25" customFormat="1">
      <c r="B29" s="21">
        <f t="shared" si="2"/>
        <v>17</v>
      </c>
      <c r="C29" s="13" t="s">
        <v>1176</v>
      </c>
      <c r="D29" s="13" t="s">
        <v>1177</v>
      </c>
      <c r="E29" s="7"/>
      <c r="F29" s="7" t="s">
        <v>205</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milscm_2023_010.azn_202310_backup_merge_receiptc_si.times IS '回数';</v>
      </c>
    </row>
    <row r="30" spans="2:45" s="25" customFormat="1">
      <c r="B30" s="21">
        <f t="shared" si="2"/>
        <v>18</v>
      </c>
      <c r="C30" s="13" t="s">
        <v>1178</v>
      </c>
      <c r="D30" s="13" t="s">
        <v>1179</v>
      </c>
      <c r="E30" s="7"/>
      <c r="F30" s="7" t="s">
        <v>868</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milscm_2023_010.azn_202310_backup_merge_receiptc_si.comment_code1 IS 'コメントコード1';</v>
      </c>
    </row>
    <row r="31" spans="2:45" s="25" customFormat="1">
      <c r="B31" s="21">
        <f t="shared" si="2"/>
        <v>19</v>
      </c>
      <c r="C31" s="13" t="s">
        <v>1180</v>
      </c>
      <c r="D31" s="13" t="s">
        <v>1181</v>
      </c>
      <c r="E31" s="7"/>
      <c r="F31" s="7" t="s">
        <v>868</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milscm_2023_010.azn_202310_backup_merge_receiptc_si.comment_data1 IS '文字データ1';</v>
      </c>
    </row>
    <row r="32" spans="2:45" s="25" customFormat="1">
      <c r="B32" s="21">
        <f t="shared" si="2"/>
        <v>20</v>
      </c>
      <c r="C32" s="13" t="s">
        <v>1182</v>
      </c>
      <c r="D32" s="13" t="s">
        <v>1183</v>
      </c>
      <c r="E32" s="7"/>
      <c r="F32" s="7" t="s">
        <v>868</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milscm_2023_010.azn_202310_backup_merge_receiptc_si.comment_code2 IS 'コメントコード2';</v>
      </c>
    </row>
    <row r="33" spans="1:52" s="25" customFormat="1">
      <c r="B33" s="21">
        <f t="shared" si="2"/>
        <v>21</v>
      </c>
      <c r="C33" s="13" t="s">
        <v>1184</v>
      </c>
      <c r="D33" s="13" t="s">
        <v>1185</v>
      </c>
      <c r="E33" s="7"/>
      <c r="F33" s="7" t="s">
        <v>868</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milscm_2023_010.azn_202310_backup_merge_receiptc_si.comment_data2 IS '文字データ2';</v>
      </c>
    </row>
    <row r="34" spans="1:52" s="25" customFormat="1">
      <c r="B34" s="21">
        <f t="shared" si="2"/>
        <v>22</v>
      </c>
      <c r="C34" s="13" t="s">
        <v>1186</v>
      </c>
      <c r="D34" s="13" t="s">
        <v>1187</v>
      </c>
      <c r="E34" s="7"/>
      <c r="F34" s="7" t="s">
        <v>868</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milscm_2023_010.azn_202310_backup_merge_receiptc_si.comment_code3 IS 'コメントコード3';</v>
      </c>
    </row>
    <row r="35" spans="1:52" s="25" customFormat="1" ht="19.5" thickBot="1">
      <c r="A35" s="4"/>
      <c r="B35" s="27">
        <f>ROW()-12</f>
        <v>23</v>
      </c>
      <c r="C35" s="57" t="s">
        <v>1188</v>
      </c>
      <c r="D35" s="57" t="s">
        <v>1189</v>
      </c>
      <c r="E35" s="56"/>
      <c r="F35" s="56" t="s">
        <v>868</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milscm_2023_010.azn_202310_backup_merge_receiptc_si.comment_data3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6F00-000000000000}"/>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ENT_01_C2-08</v>
      </c>
      <c r="E6" s="239"/>
      <c r="F6" s="239"/>
      <c r="G6" s="239"/>
      <c r="H6" s="239"/>
      <c r="I6" s="239"/>
      <c r="J6" s="240"/>
    </row>
    <row r="7" spans="1:45">
      <c r="B7" s="228" t="s">
        <v>115</v>
      </c>
      <c r="C7" s="229"/>
      <c r="D7" s="230" t="s">
        <v>1193</v>
      </c>
      <c r="E7" s="231"/>
      <c r="F7" s="231"/>
      <c r="G7" s="231"/>
      <c r="H7" s="231"/>
      <c r="I7" s="231"/>
      <c r="J7" s="232"/>
    </row>
    <row r="8" spans="1:45">
      <c r="B8" s="228" t="s">
        <v>116</v>
      </c>
      <c r="C8" s="229"/>
      <c r="D8" s="230" t="str">
        <f>エンティティ一覧!AE2&amp;"_"&amp;D5&amp;"_merge_receiptc_si_day"</f>
        <v>azn_202310_backup_merge_receiptc_si_day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milscm_2023_010.azn_202310_backup_merge_receiptc_si_day;</v>
      </c>
      <c r="O10" s="78"/>
      <c r="P10" s="78"/>
      <c r="Q10" s="78"/>
      <c r="R10" s="78"/>
      <c r="S10" s="78"/>
      <c r="T10" s="78"/>
      <c r="AJ10" s="78" t="str">
        <f>"ALTER TABLE ONLY "&amp;エンティティ一覧!$O$2&amp;"."&amp;D$8</f>
        <v>ALTER TABLE ONLY milscm_2023_010.azn_202310_backup_merge_receiptc_si_day</v>
      </c>
      <c r="AS10" s="78" t="str">
        <f>"ALTER TABLE "&amp;エンティティ一覧!$O$2&amp;"."&amp;D$8&amp;" OWNER TO pgmisgrp1;"</f>
        <v>ALTER TABLE milscm_2023_010.azn_202310_backup_merge_receiptc_si_day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milscm_2023_010.azn_202310_backup_merge_receiptc_si_day</v>
      </c>
      <c r="O11" s="78"/>
      <c r="P11" s="78"/>
      <c r="Q11" s="78"/>
      <c r="R11" s="78"/>
      <c r="S11" s="78"/>
      <c r="T11" s="78"/>
      <c r="AJ11" s="78" t="str">
        <f>"ADD CONSTRAINT "&amp;D$8&amp;"_pkey PRIMARY KEY"</f>
        <v>ADD CONSTRAINT azn_202310_backup_merge_receiptc_si_day_pkey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milscm_2023_010.azn_202310_backup_merge_receiptc_si_day IS 'バックアップ_医科レセプト_診療行為レコード_算定日情報';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milscm_2023_010.azn_202310_backup_merge_receiptc_si_day.torikomi_ym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258</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milscm_2023_010.azn_202310_backup_merge_receiptc_si_day.mil_karute_id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milscm_2023_010.azn_202310_backup_merge_receiptc_si_day.facility_id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milscm_2023_010.azn_202310_backup_merge_receiptc_si_day.seikyu_ym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milscm_2023_010.azn_202310_backup_merge_receiptc_si_day.shinryo_ym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milscm_2023_010.azn_202310_backup_merge_receiptc_si_day.data_type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milscm_2023_010.azn_202310_backup_merge_receiptc_si_day.shinsa_kikan IS '審査支払機関';</v>
      </c>
    </row>
    <row r="20" spans="1:52"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milscm_2023_010.azn_202310_backup_merge_receiptc_si_day.record_shikibetsu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milscm_2023_010.azn_202310_backup_merge_receiptc_si_day.receipt_no IS 'レセプト番号';</v>
      </c>
    </row>
    <row r="22" spans="1:52"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milscm_2023_010.azn_202310_backup_merge_receiptc_si_day.gyo_no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milscm_2023_010.azn_202310_backup_merge_receiptc_si_day.karute_no IS 'カルテ番号等';</v>
      </c>
    </row>
    <row r="24" spans="1:52" s="25" customFormat="1">
      <c r="B24" s="21">
        <f t="shared" si="2"/>
        <v>12</v>
      </c>
      <c r="C24" s="13" t="s">
        <v>1194</v>
      </c>
      <c r="D24" s="13" t="s">
        <v>1195</v>
      </c>
      <c r="E24" s="7" t="s">
        <v>127</v>
      </c>
      <c r="F24" s="7" t="s">
        <v>868</v>
      </c>
      <c r="G24" s="7" t="str">
        <f t="shared" si="3"/>
        <v>text</v>
      </c>
      <c r="H24" s="58"/>
      <c r="I24" s="23" t="s">
        <v>127</v>
      </c>
      <c r="J24" s="24" t="s">
        <v>1197</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milscm_2023_010.azn_202310_backup_merge_receiptc_si_day.santei_ymd IS '算定日';</v>
      </c>
    </row>
    <row r="25" spans="1:52" s="25" customFormat="1" ht="19.5" thickBot="1">
      <c r="A25" s="4"/>
      <c r="B25" s="27">
        <f>ROW()-12</f>
        <v>13</v>
      </c>
      <c r="C25" s="57" t="s">
        <v>1196</v>
      </c>
      <c r="D25" s="57" t="s">
        <v>1177</v>
      </c>
      <c r="E25" s="56"/>
      <c r="F25" s="56" t="s">
        <v>205</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milscm_2023_010.azn_202310_backup_merge_receiptc_si_day.times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000-000000000000}"/>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AZ5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ENT_01_C2-09</v>
      </c>
      <c r="E6" s="239"/>
      <c r="F6" s="239"/>
      <c r="G6" s="239"/>
      <c r="H6" s="239"/>
      <c r="I6" s="239"/>
      <c r="J6" s="240"/>
    </row>
    <row r="7" spans="1:45">
      <c r="B7" s="228" t="s">
        <v>115</v>
      </c>
      <c r="C7" s="229"/>
      <c r="D7" s="230" t="s">
        <v>1201</v>
      </c>
      <c r="E7" s="231"/>
      <c r="F7" s="231"/>
      <c r="G7" s="231"/>
      <c r="H7" s="231"/>
      <c r="I7" s="231"/>
      <c r="J7" s="232"/>
    </row>
    <row r="8" spans="1:45">
      <c r="B8" s="228" t="s">
        <v>116</v>
      </c>
      <c r="C8" s="229"/>
      <c r="D8" s="230" t="str">
        <f>エンティティ一覧!AE2&amp;"_"&amp;D5&amp;"_merge_receiptc_iy"</f>
        <v>azn_202310_backup_merge_receiptc_iy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milscm_2023_010.azn_202310_backup_merge_receiptc_iy;</v>
      </c>
      <c r="O10" s="78"/>
      <c r="P10" s="78"/>
      <c r="Q10" s="78"/>
      <c r="R10" s="78"/>
      <c r="S10" s="78"/>
      <c r="T10" s="78"/>
      <c r="AJ10" s="78" t="str">
        <f>"ALTER TABLE ONLY "&amp;エンティティ一覧!$O$2&amp;"."&amp;D$8</f>
        <v>ALTER TABLE ONLY milscm_2023_010.azn_202310_backup_merge_receiptc_iy</v>
      </c>
      <c r="AS10" s="78" t="str">
        <f>"ALTER TABLE "&amp;エンティティ一覧!$O$2&amp;"."&amp;D$8&amp;" OWNER TO pgmisgrp1;"</f>
        <v>ALTER TABLE milscm_2023_010.azn_202310_backup_merge_receiptc_iy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milscm_2023_010.azn_202310_backup_merge_receiptc_iy</v>
      </c>
      <c r="O11" s="78"/>
      <c r="P11" s="78"/>
      <c r="Q11" s="78"/>
      <c r="R11" s="78"/>
      <c r="S11" s="78"/>
      <c r="T11" s="78"/>
      <c r="AJ11" s="78" t="str">
        <f>"ADD CONSTRAINT "&amp;D$8&amp;"_pkey PRIMARY KEY"</f>
        <v>ADD CONSTRAINT azn_202310_backup_merge_receiptc_iy_pkey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milscm_2023_010.azn_202310_backup_merge_receiptc_iy IS 'バックアップ_医科レセプト_医薬品レコード';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5" si="0">UPPER(G13)</f>
        <v>TEXT</v>
      </c>
      <c r="R13" s="78" t="str">
        <f t="shared" ref="R13:R3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milscm_2023_010.azn_202310_backup_merge_receiptc_iy.torikomi_ym IS '取込年月';</v>
      </c>
    </row>
    <row r="14" spans="1:45" s="25" customFormat="1">
      <c r="A14" s="4"/>
      <c r="B14" s="21">
        <f t="shared" ref="B14:B34" si="2">ROW()-12</f>
        <v>2</v>
      </c>
      <c r="C14" s="6" t="s">
        <v>203</v>
      </c>
      <c r="D14" s="6" t="s">
        <v>204</v>
      </c>
      <c r="E14" s="8"/>
      <c r="F14" s="7" t="s">
        <v>205</v>
      </c>
      <c r="G14" s="7" t="str">
        <f t="shared" ref="G14:G35" si="3">IF(F14="フラグ","boolean",IF(F14="文字列","text",IF(F14="整数","integer",IF(F14="実数","numeric",""))))</f>
        <v>integer</v>
      </c>
      <c r="H14" s="26"/>
      <c r="I14" s="10"/>
      <c r="J14" s="11" t="s">
        <v>258</v>
      </c>
      <c r="M14" s="4"/>
      <c r="N14" s="78"/>
      <c r="O14" s="78"/>
      <c r="P14" s="78" t="str">
        <f t="shared" ref="P14:P3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35" si="5">IF(I16="○","NOT NULL","")</f>
        <v>NOT NULL</v>
      </c>
      <c r="T16" s="78" t="str">
        <f t="shared" ref="T16:T3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milscm_2023_010.azn_202310_backup_merge_receiptc_iy.seikyu_ym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milscm_2023_010.azn_202310_backup_merge_receiptc_iy.shinryo_ym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milscm_2023_010.azn_202310_backup_merge_receiptc_iy.data_type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milscm_2023_010.azn_202310_backup_merge_receiptc_iy.shinsa_kikan IS '審査支払機関';</v>
      </c>
    </row>
    <row r="20" spans="2:45" s="25" customFormat="1">
      <c r="B20" s="21">
        <f t="shared" si="2"/>
        <v>8</v>
      </c>
      <c r="C20" s="13" t="s">
        <v>953</v>
      </c>
      <c r="D20" s="13" t="s">
        <v>954</v>
      </c>
      <c r="E20" s="7"/>
      <c r="F20" s="7" t="s">
        <v>868</v>
      </c>
      <c r="G20" s="7" t="str">
        <f t="shared" si="3"/>
        <v>text</v>
      </c>
      <c r="H20" s="58" t="s">
        <v>1206</v>
      </c>
      <c r="I20" s="23" t="s">
        <v>127</v>
      </c>
      <c r="J20" s="24" t="s">
        <v>1207</v>
      </c>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milscm_2023_010.azn_202310_backup_merge_receiptc_iy.record_shikibetsu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milscm_2023_010.azn_202310_backup_merge_receiptc_iy.receipt_no IS 'レセプト番号';</v>
      </c>
    </row>
    <row r="22" spans="2:45"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milscm_2023_010.azn_202310_backup_merge_receiptc_iy.gyo_no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milscm_2023_010.azn_202310_backup_merge_receiptc_iy.karute_no IS 'カルテ番号等';</v>
      </c>
    </row>
    <row r="24" spans="2:45" s="25" customFormat="1">
      <c r="B24" s="21">
        <f t="shared" si="2"/>
        <v>12</v>
      </c>
      <c r="C24" s="13" t="s">
        <v>1166</v>
      </c>
      <c r="D24" s="13" t="s">
        <v>1167</v>
      </c>
      <c r="E24" s="7"/>
      <c r="F24" s="7" t="s">
        <v>868</v>
      </c>
      <c r="G24" s="7" t="str">
        <f t="shared" si="3"/>
        <v>text</v>
      </c>
      <c r="H24" s="58"/>
      <c r="I24" s="23"/>
      <c r="J24" s="24"/>
      <c r="N24" s="78"/>
      <c r="O24" s="78"/>
      <c r="P24" s="78" t="str">
        <f t="shared" si="4"/>
        <v>,shinryo_shikibetsu</v>
      </c>
      <c r="Q24" s="78" t="str">
        <f t="shared" si="0"/>
        <v>TEXT</v>
      </c>
      <c r="R24" s="78" t="str">
        <f t="shared" si="1"/>
        <v/>
      </c>
      <c r="S24" s="78" t="str">
        <f t="shared" si="5"/>
        <v/>
      </c>
      <c r="T24" s="78" t="str">
        <f t="shared" si="6"/>
        <v>-- 診療識別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milscm_2023_010.azn_202310_backup_merge_receiptc_iy.shinryo_shikibetsu IS '診療識別';</v>
      </c>
    </row>
    <row r="25" spans="2:45" s="25" customFormat="1">
      <c r="B25" s="21">
        <f t="shared" si="2"/>
        <v>13</v>
      </c>
      <c r="C25" s="13" t="s">
        <v>1168</v>
      </c>
      <c r="D25" s="13" t="s">
        <v>1169</v>
      </c>
      <c r="E25" s="7"/>
      <c r="F25" s="7" t="s">
        <v>868</v>
      </c>
      <c r="G25" s="7" t="str">
        <f t="shared" si="3"/>
        <v>text</v>
      </c>
      <c r="H25" s="58"/>
      <c r="I25" s="23"/>
      <c r="J25" s="24"/>
      <c r="N25" s="78"/>
      <c r="O25" s="78"/>
      <c r="P25" s="78" t="str">
        <f t="shared" si="4"/>
        <v>,futan_kubun</v>
      </c>
      <c r="Q25" s="78" t="str">
        <f t="shared" si="0"/>
        <v>TEXT</v>
      </c>
      <c r="R25" s="78" t="str">
        <f t="shared" si="1"/>
        <v/>
      </c>
      <c r="S25" s="78" t="str">
        <f t="shared" si="5"/>
        <v/>
      </c>
      <c r="T25" s="78" t="str">
        <f t="shared" si="6"/>
        <v>-- 負担区分</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milscm_2023_010.azn_202310_backup_merge_receiptc_iy.futan_kubun IS '負担区分';</v>
      </c>
    </row>
    <row r="26" spans="2:45" s="25" customFormat="1">
      <c r="B26" s="21">
        <f t="shared" si="2"/>
        <v>14</v>
      </c>
      <c r="C26" s="13" t="s">
        <v>1202</v>
      </c>
      <c r="D26" s="13" t="s">
        <v>1203</v>
      </c>
      <c r="E26" s="7"/>
      <c r="F26" s="7" t="s">
        <v>868</v>
      </c>
      <c r="G26" s="7" t="str">
        <f t="shared" si="3"/>
        <v>text</v>
      </c>
      <c r="H26" s="58"/>
      <c r="I26" s="23"/>
      <c r="J26" s="24"/>
      <c r="N26" s="78"/>
      <c r="O26" s="78"/>
      <c r="P26" s="78" t="str">
        <f t="shared" si="4"/>
        <v>,iyakuhin_code</v>
      </c>
      <c r="Q26" s="78" t="str">
        <f t="shared" si="0"/>
        <v>TEXT</v>
      </c>
      <c r="R26" s="78" t="str">
        <f t="shared" si="1"/>
        <v/>
      </c>
      <c r="S26" s="78" t="str">
        <f t="shared" si="5"/>
        <v/>
      </c>
      <c r="T26" s="78" t="str">
        <f t="shared" si="6"/>
        <v>-- 医薬品コード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milscm_2023_010.azn_202310_backup_merge_receiptc_iy.iyakuhin_code IS '医薬品コード';</v>
      </c>
    </row>
    <row r="27" spans="2:45" s="25" customFormat="1" ht="37.5">
      <c r="B27" s="21">
        <f t="shared" si="2"/>
        <v>15</v>
      </c>
      <c r="C27" s="13" t="s">
        <v>1204</v>
      </c>
      <c r="D27" s="13" t="s">
        <v>129</v>
      </c>
      <c r="E27" s="7"/>
      <c r="F27" s="7" t="s">
        <v>1205</v>
      </c>
      <c r="G27" s="7" t="str">
        <f t="shared" si="3"/>
        <v>numeric</v>
      </c>
      <c r="H27" s="58"/>
      <c r="I27" s="23"/>
      <c r="J27" s="24" t="s">
        <v>1208</v>
      </c>
      <c r="N27" s="78"/>
      <c r="O27" s="78"/>
      <c r="P27" s="78" t="str">
        <f t="shared" si="4"/>
        <v>,shiyoryo</v>
      </c>
      <c r="Q27" s="78" t="str">
        <f t="shared" si="0"/>
        <v>NUMERIC</v>
      </c>
      <c r="R27" s="78" t="str">
        <f t="shared" si="1"/>
        <v/>
      </c>
      <c r="S27" s="78" t="str">
        <f t="shared" si="5"/>
        <v/>
      </c>
      <c r="T27" s="78" t="str">
        <f t="shared" si="6"/>
        <v>-- 使用量</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milscm_2023_010.azn_202310_backup_merge_receiptc_iy.shiyoryo IS '使用量';</v>
      </c>
    </row>
    <row r="28" spans="2:45" s="25" customFormat="1">
      <c r="B28" s="21">
        <f t="shared" si="2"/>
        <v>16</v>
      </c>
      <c r="C28" s="13" t="s">
        <v>1174</v>
      </c>
      <c r="D28" s="13" t="s">
        <v>1175</v>
      </c>
      <c r="E28" s="7"/>
      <c r="F28" s="7" t="s">
        <v>205</v>
      </c>
      <c r="G28" s="7" t="str">
        <f t="shared" si="3"/>
        <v>integer</v>
      </c>
      <c r="H28" s="58"/>
      <c r="I28" s="23"/>
      <c r="J28" s="24"/>
      <c r="N28" s="78"/>
      <c r="O28" s="78"/>
      <c r="P28" s="78" t="str">
        <f t="shared" si="4"/>
        <v>,tensu</v>
      </c>
      <c r="Q28" s="78" t="str">
        <f t="shared" si="0"/>
        <v>INTEGER</v>
      </c>
      <c r="R28" s="78" t="str">
        <f t="shared" si="1"/>
        <v/>
      </c>
      <c r="S28" s="78" t="str">
        <f t="shared" si="5"/>
        <v/>
      </c>
      <c r="T28" s="78" t="str">
        <f t="shared" si="6"/>
        <v>-- 点数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milscm_2023_010.azn_202310_backup_merge_receiptc_iy.tensu IS '点数';</v>
      </c>
    </row>
    <row r="29" spans="2:45" s="25" customFormat="1">
      <c r="B29" s="21">
        <f t="shared" si="2"/>
        <v>17</v>
      </c>
      <c r="C29" s="13" t="s">
        <v>1176</v>
      </c>
      <c r="D29" s="13" t="s">
        <v>1177</v>
      </c>
      <c r="E29" s="7"/>
      <c r="F29" s="7" t="s">
        <v>205</v>
      </c>
      <c r="G29" s="7" t="str">
        <f t="shared" si="3"/>
        <v>integer</v>
      </c>
      <c r="H29" s="58"/>
      <c r="I29" s="23"/>
      <c r="J29" s="24"/>
      <c r="N29" s="78"/>
      <c r="O29" s="78"/>
      <c r="P29" s="78" t="str">
        <f t="shared" si="4"/>
        <v>,times</v>
      </c>
      <c r="Q29" s="78" t="str">
        <f t="shared" si="0"/>
        <v>INTEGER</v>
      </c>
      <c r="R29" s="78" t="str">
        <f t="shared" si="1"/>
        <v/>
      </c>
      <c r="S29" s="78" t="str">
        <f t="shared" si="5"/>
        <v/>
      </c>
      <c r="T29" s="78" t="str">
        <f t="shared" si="6"/>
        <v>-- 回数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milscm_2023_010.azn_202310_backup_merge_receiptc_iy.times IS '回数';</v>
      </c>
    </row>
    <row r="30" spans="2:45" s="25" customFormat="1">
      <c r="B30" s="21">
        <f t="shared" si="2"/>
        <v>18</v>
      </c>
      <c r="C30" s="13" t="s">
        <v>1178</v>
      </c>
      <c r="D30" s="13" t="s">
        <v>1179</v>
      </c>
      <c r="E30" s="7"/>
      <c r="F30" s="7" t="s">
        <v>868</v>
      </c>
      <c r="G30" s="7" t="str">
        <f t="shared" si="3"/>
        <v>text</v>
      </c>
      <c r="H30" s="58"/>
      <c r="I30" s="23"/>
      <c r="J30" s="24"/>
      <c r="N30" s="78"/>
      <c r="O30" s="78"/>
      <c r="P30" s="78" t="str">
        <f t="shared" si="4"/>
        <v>,comment_code1</v>
      </c>
      <c r="Q30" s="78" t="str">
        <f t="shared" si="0"/>
        <v>TEXT</v>
      </c>
      <c r="R30" s="78" t="str">
        <f t="shared" si="1"/>
        <v/>
      </c>
      <c r="S30" s="78" t="str">
        <f t="shared" si="5"/>
        <v/>
      </c>
      <c r="T30" s="78" t="str">
        <f t="shared" si="6"/>
        <v>-- コメントコード1</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milscm_2023_010.azn_202310_backup_merge_receiptc_iy.comment_code1 IS 'コメントコード1';</v>
      </c>
    </row>
    <row r="31" spans="2:45" s="25" customFormat="1">
      <c r="B31" s="21">
        <f t="shared" si="2"/>
        <v>19</v>
      </c>
      <c r="C31" s="13" t="s">
        <v>1180</v>
      </c>
      <c r="D31" s="13" t="s">
        <v>1181</v>
      </c>
      <c r="E31" s="7"/>
      <c r="F31" s="7" t="s">
        <v>868</v>
      </c>
      <c r="G31" s="7" t="str">
        <f t="shared" si="3"/>
        <v>text</v>
      </c>
      <c r="H31" s="58"/>
      <c r="I31" s="23"/>
      <c r="J31" s="24"/>
      <c r="N31" s="78"/>
      <c r="O31" s="78"/>
      <c r="P31" s="78" t="str">
        <f t="shared" si="4"/>
        <v>,comment_data1</v>
      </c>
      <c r="Q31" s="78" t="str">
        <f t="shared" si="0"/>
        <v>TEXT</v>
      </c>
      <c r="R31" s="78" t="str">
        <f t="shared" si="1"/>
        <v/>
      </c>
      <c r="S31" s="78" t="str">
        <f t="shared" si="5"/>
        <v/>
      </c>
      <c r="T31" s="78" t="str">
        <f t="shared" si="6"/>
        <v>-- 文字データ1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milscm_2023_010.azn_202310_backup_merge_receiptc_iy.comment_data1 IS '文字データ1';</v>
      </c>
    </row>
    <row r="32" spans="2:45" s="25" customFormat="1">
      <c r="B32" s="21">
        <f t="shared" si="2"/>
        <v>20</v>
      </c>
      <c r="C32" s="13" t="s">
        <v>1182</v>
      </c>
      <c r="D32" s="13" t="s">
        <v>1183</v>
      </c>
      <c r="E32" s="7"/>
      <c r="F32" s="7" t="s">
        <v>868</v>
      </c>
      <c r="G32" s="7" t="str">
        <f t="shared" si="3"/>
        <v>text</v>
      </c>
      <c r="H32" s="58"/>
      <c r="I32" s="23"/>
      <c r="J32" s="24"/>
      <c r="N32" s="78"/>
      <c r="O32" s="78"/>
      <c r="P32" s="78" t="str">
        <f t="shared" si="4"/>
        <v>,comment_code2</v>
      </c>
      <c r="Q32" s="78" t="str">
        <f t="shared" si="0"/>
        <v>TEXT</v>
      </c>
      <c r="R32" s="78" t="str">
        <f t="shared" si="1"/>
        <v/>
      </c>
      <c r="S32" s="78" t="str">
        <f t="shared" si="5"/>
        <v/>
      </c>
      <c r="T32" s="78" t="str">
        <f t="shared" si="6"/>
        <v>-- コメントコード2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milscm_2023_010.azn_202310_backup_merge_receiptc_iy.comment_code2 IS 'コメントコード2';</v>
      </c>
    </row>
    <row r="33" spans="1:52" s="25" customFormat="1">
      <c r="B33" s="21">
        <f t="shared" si="2"/>
        <v>21</v>
      </c>
      <c r="C33" s="13" t="s">
        <v>1184</v>
      </c>
      <c r="D33" s="13" t="s">
        <v>1185</v>
      </c>
      <c r="E33" s="7"/>
      <c r="F33" s="7" t="s">
        <v>868</v>
      </c>
      <c r="G33" s="7" t="str">
        <f t="shared" si="3"/>
        <v>text</v>
      </c>
      <c r="H33" s="58"/>
      <c r="I33" s="23"/>
      <c r="J33" s="24"/>
      <c r="N33" s="78"/>
      <c r="O33" s="78"/>
      <c r="P33" s="78" t="str">
        <f t="shared" si="4"/>
        <v>,comment_data2</v>
      </c>
      <c r="Q33" s="78" t="str">
        <f t="shared" si="0"/>
        <v>TEXT</v>
      </c>
      <c r="R33" s="78" t="str">
        <f t="shared" si="1"/>
        <v/>
      </c>
      <c r="S33" s="78" t="str">
        <f t="shared" si="5"/>
        <v/>
      </c>
      <c r="T33" s="78" t="str">
        <f t="shared" si="6"/>
        <v>-- 文字データ2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milscm_2023_010.azn_202310_backup_merge_receiptc_iy.comment_data2 IS '文字データ2';</v>
      </c>
    </row>
    <row r="34" spans="1:52" s="25" customFormat="1">
      <c r="B34" s="21">
        <f t="shared" si="2"/>
        <v>22</v>
      </c>
      <c r="C34" s="13" t="s">
        <v>1186</v>
      </c>
      <c r="D34" s="13" t="s">
        <v>1187</v>
      </c>
      <c r="E34" s="7"/>
      <c r="F34" s="7" t="s">
        <v>868</v>
      </c>
      <c r="G34" s="7" t="str">
        <f t="shared" si="3"/>
        <v>text</v>
      </c>
      <c r="H34" s="58"/>
      <c r="I34" s="23"/>
      <c r="J34" s="24"/>
      <c r="N34" s="78"/>
      <c r="O34" s="78"/>
      <c r="P34" s="78" t="str">
        <f t="shared" si="4"/>
        <v>,comment_code3</v>
      </c>
      <c r="Q34" s="78" t="str">
        <f t="shared" si="0"/>
        <v>TEXT</v>
      </c>
      <c r="R34" s="78" t="str">
        <f t="shared" si="1"/>
        <v/>
      </c>
      <c r="S34" s="78" t="str">
        <f t="shared" si="5"/>
        <v/>
      </c>
      <c r="T34" s="78" t="str">
        <f t="shared" si="6"/>
        <v>-- コメントコード3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milscm_2023_010.azn_202310_backup_merge_receiptc_iy.comment_code3 IS 'コメントコード3';</v>
      </c>
    </row>
    <row r="35" spans="1:52" s="25" customFormat="1" ht="19.5" thickBot="1">
      <c r="A35" s="4"/>
      <c r="B35" s="27">
        <f>ROW()-12</f>
        <v>23</v>
      </c>
      <c r="C35" s="57" t="s">
        <v>1188</v>
      </c>
      <c r="D35" s="57" t="s">
        <v>1189</v>
      </c>
      <c r="E35" s="56"/>
      <c r="F35" s="56" t="s">
        <v>868</v>
      </c>
      <c r="G35" s="56" t="str">
        <f t="shared" si="3"/>
        <v>text</v>
      </c>
      <c r="H35" s="59"/>
      <c r="I35" s="60"/>
      <c r="J35" s="64"/>
      <c r="N35" s="78"/>
      <c r="O35" s="78"/>
      <c r="P35" s="78" t="str">
        <f t="shared" si="4"/>
        <v>,comment_data3</v>
      </c>
      <c r="Q35" s="78" t="str">
        <f t="shared" si="0"/>
        <v>TEXT</v>
      </c>
      <c r="R35" s="78" t="str">
        <f t="shared" si="1"/>
        <v/>
      </c>
      <c r="S35" s="78" t="str">
        <f t="shared" si="5"/>
        <v/>
      </c>
      <c r="T35" s="78" t="str">
        <f t="shared" si="6"/>
        <v>-- 文字データ3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milscm_2023_010.azn_202310_backup_merge_receiptc_iy.comment_data3 IS '文字データ3';</v>
      </c>
    </row>
    <row r="36" spans="1:52">
      <c r="L36" s="25"/>
      <c r="M36" s="25"/>
      <c r="N36" s="78" t="s">
        <v>142</v>
      </c>
      <c r="O36" s="78"/>
      <c r="P36" s="78"/>
      <c r="Q36" s="78"/>
      <c r="R36" s="78"/>
      <c r="S36" s="78"/>
      <c r="T36" s="78"/>
      <c r="V36" s="25"/>
      <c r="W36" s="25"/>
      <c r="X36" s="25"/>
      <c r="Y36" s="25"/>
      <c r="Z36" s="25"/>
      <c r="AJ36" s="78"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100-000000000000}"/>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ENT_01_C2-10</v>
      </c>
      <c r="E6" s="239"/>
      <c r="F6" s="239"/>
      <c r="G6" s="239"/>
      <c r="H6" s="239"/>
      <c r="I6" s="239"/>
      <c r="J6" s="240"/>
    </row>
    <row r="7" spans="1:45">
      <c r="B7" s="228" t="s">
        <v>115</v>
      </c>
      <c r="C7" s="229"/>
      <c r="D7" s="230" t="s">
        <v>1209</v>
      </c>
      <c r="E7" s="231"/>
      <c r="F7" s="231"/>
      <c r="G7" s="231"/>
      <c r="H7" s="231"/>
      <c r="I7" s="231"/>
      <c r="J7" s="232"/>
    </row>
    <row r="8" spans="1:45">
      <c r="B8" s="228" t="s">
        <v>116</v>
      </c>
      <c r="C8" s="229"/>
      <c r="D8" s="230" t="str">
        <f>エンティティ一覧!AE2&amp;"_"&amp;D5&amp;"_merge_receiptc_iy_day"</f>
        <v>azn_202310_backup_merge_receiptc_iy_day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milscm_2023_010.azn_202310_backup_merge_receiptc_iy_day;</v>
      </c>
      <c r="O10" s="78"/>
      <c r="P10" s="78"/>
      <c r="Q10" s="78"/>
      <c r="R10" s="78"/>
      <c r="S10" s="78"/>
      <c r="T10" s="78"/>
      <c r="AJ10" s="78" t="str">
        <f>"ALTER TABLE ONLY "&amp;エンティティ一覧!$O$2&amp;"."&amp;D$8</f>
        <v>ALTER TABLE ONLY milscm_2023_010.azn_202310_backup_merge_receiptc_iy_day</v>
      </c>
      <c r="AS10" s="78" t="str">
        <f>"ALTER TABLE "&amp;エンティティ一覧!$O$2&amp;"."&amp;D$8&amp;" OWNER TO pgmisgrp1;"</f>
        <v>ALTER TABLE milscm_2023_010.azn_202310_backup_merge_receiptc_iy_day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milscm_2023_010.azn_202310_backup_merge_receiptc_iy_day</v>
      </c>
      <c r="O11" s="78"/>
      <c r="P11" s="78"/>
      <c r="Q11" s="78"/>
      <c r="R11" s="78"/>
      <c r="S11" s="78"/>
      <c r="T11" s="78"/>
      <c r="AJ11" s="78" t="str">
        <f>"ADD CONSTRAINT "&amp;D$8&amp;"_pkey PRIMARY KEY"</f>
        <v>ADD CONSTRAINT azn_202310_backup_merge_receiptc_iy_day_pkey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milscm_2023_010.azn_202310_backup_merge_receiptc_iy_day IS 'バックアップ_医科レセプト_医薬品レコード_算定日情報';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milscm_2023_010.azn_202310_backup_merge_receiptc_iy_day.torikomi_ym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258</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milscm_2023_010.azn_202310_backup_merge_receiptc_iy_day.mil_karute_id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milscm_2023_010.azn_202310_backup_merge_receiptc_iy_day.facility_id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5" si="5">IF(I16="○","NOT NULL","")</f>
        <v>NOT NULL</v>
      </c>
      <c r="T16" s="78" t="str">
        <f t="shared" ref="T16:T25"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milscm_2023_010.azn_202310_backup_merge_receiptc_iy_day.seikyu_ym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milscm_2023_010.azn_202310_backup_merge_receiptc_iy_day.shinryo_ym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milscm_2023_010.azn_202310_backup_merge_receiptc_iy_day.data_type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milscm_2023_010.azn_202310_backup_merge_receiptc_iy_day.shinsa_kikan IS '審査支払機関';</v>
      </c>
    </row>
    <row r="20" spans="1:52" s="25" customFormat="1">
      <c r="B20" s="21">
        <f t="shared" si="2"/>
        <v>8</v>
      </c>
      <c r="C20" s="13" t="s">
        <v>953</v>
      </c>
      <c r="D20" s="13" t="s">
        <v>954</v>
      </c>
      <c r="E20" s="7"/>
      <c r="F20" s="7" t="s">
        <v>868</v>
      </c>
      <c r="G20" s="7" t="str">
        <f t="shared" si="3"/>
        <v>text</v>
      </c>
      <c r="H20" s="58" t="s">
        <v>1190</v>
      </c>
      <c r="I20" s="23" t="s">
        <v>127</v>
      </c>
      <c r="J20" s="24" t="s">
        <v>1191</v>
      </c>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milscm_2023_010.azn_202310_backup_merge_receiptc_iy_day.record_shikibetsu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milscm_2023_010.azn_202310_backup_merge_receiptc_iy_day.receipt_no IS 'レセプト番号';</v>
      </c>
    </row>
    <row r="22" spans="1:52"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milscm_2023_010.azn_202310_backup_merge_receiptc_iy_day.gyo_no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milscm_2023_010.azn_202310_backup_merge_receiptc_iy_day.karute_no IS 'カルテ番号等';</v>
      </c>
    </row>
    <row r="24" spans="1:52" s="25" customFormat="1">
      <c r="B24" s="21">
        <f t="shared" si="2"/>
        <v>12</v>
      </c>
      <c r="C24" s="13" t="s">
        <v>1194</v>
      </c>
      <c r="D24" s="13" t="s">
        <v>1195</v>
      </c>
      <c r="E24" s="7" t="s">
        <v>127</v>
      </c>
      <c r="F24" s="7" t="s">
        <v>868</v>
      </c>
      <c r="G24" s="7" t="str">
        <f t="shared" si="3"/>
        <v>text</v>
      </c>
      <c r="H24" s="58"/>
      <c r="I24" s="23" t="s">
        <v>127</v>
      </c>
      <c r="J24" s="24" t="s">
        <v>1197</v>
      </c>
      <c r="N24" s="78"/>
      <c r="O24" s="78"/>
      <c r="P24" s="78" t="str">
        <f t="shared" si="4"/>
        <v>,santei_ymd</v>
      </c>
      <c r="Q24" s="78" t="str">
        <f t="shared" si="0"/>
        <v>TEXT</v>
      </c>
      <c r="R24" s="78" t="str">
        <f t="shared" si="1"/>
        <v/>
      </c>
      <c r="S24" s="78" t="str">
        <f t="shared" si="5"/>
        <v>NOT NULL</v>
      </c>
      <c r="T24" s="78" t="str">
        <f t="shared" si="6"/>
        <v>-- 算定日</v>
      </c>
      <c r="U24" s="4"/>
      <c r="AA24" s="4"/>
      <c r="AB24" s="4"/>
      <c r="AC24" s="4"/>
      <c r="AD24" s="4"/>
      <c r="AE24" s="4"/>
      <c r="AF24" s="4"/>
      <c r="AG24" s="4"/>
      <c r="AH24" s="4"/>
      <c r="AI24" s="4"/>
      <c r="AJ24" s="78" t="str">
        <f>IF(E24="○",IF(COUNTA(E$13:E24)=1,"",",")&amp;D24,"")</f>
        <v>,santei_ymd</v>
      </c>
      <c r="AK24" s="4"/>
      <c r="AL24" s="4"/>
      <c r="AM24" s="4"/>
      <c r="AN24" s="4"/>
      <c r="AO24" s="4"/>
      <c r="AP24" s="4"/>
      <c r="AQ24" s="4"/>
      <c r="AR24" s="4"/>
      <c r="AS24" s="78" t="str">
        <f>"COMMENT ON COLUMN "&amp;エンティティ一覧!$O$2&amp;"."&amp;D$8&amp;"."&amp;D24&amp;" IS '"&amp;C24&amp;"';"</f>
        <v>COMMENT ON COLUMN milscm_2023_010.azn_202310_backup_merge_receiptc_iy_day.santei_ymd IS '算定日';</v>
      </c>
    </row>
    <row r="25" spans="1:52" s="25" customFormat="1" ht="19.5" thickBot="1">
      <c r="A25" s="4"/>
      <c r="B25" s="27">
        <f>ROW()-12</f>
        <v>13</v>
      </c>
      <c r="C25" s="57" t="s">
        <v>1196</v>
      </c>
      <c r="D25" s="57" t="s">
        <v>1177</v>
      </c>
      <c r="E25" s="56"/>
      <c r="F25" s="56" t="s">
        <v>205</v>
      </c>
      <c r="G25" s="56" t="str">
        <f t="shared" si="3"/>
        <v>integer</v>
      </c>
      <c r="H25" s="59"/>
      <c r="I25" s="60"/>
      <c r="J25" s="64"/>
      <c r="N25" s="78"/>
      <c r="O25" s="78"/>
      <c r="P25" s="78" t="str">
        <f t="shared" si="4"/>
        <v>,times</v>
      </c>
      <c r="Q25" s="78" t="str">
        <f t="shared" si="0"/>
        <v>INTEGER</v>
      </c>
      <c r="R25" s="78" t="str">
        <f t="shared" si="1"/>
        <v/>
      </c>
      <c r="S25" s="78" t="str">
        <f t="shared" si="5"/>
        <v/>
      </c>
      <c r="T25" s="78" t="str">
        <f t="shared" si="6"/>
        <v>-- 回数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milscm_2023_010.azn_202310_backup_merge_receiptc_iy_day.times IS '回数';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200-000000000000}"/>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AZ6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ENT_01_C2-16</v>
      </c>
      <c r="E6" s="239"/>
      <c r="F6" s="239"/>
      <c r="G6" s="239"/>
      <c r="H6" s="239"/>
      <c r="I6" s="239"/>
      <c r="J6" s="240"/>
    </row>
    <row r="7" spans="1:45">
      <c r="B7" s="228" t="s">
        <v>115</v>
      </c>
      <c r="C7" s="229"/>
      <c r="D7" s="230" t="s">
        <v>1210</v>
      </c>
      <c r="E7" s="231"/>
      <c r="F7" s="231"/>
      <c r="G7" s="231"/>
      <c r="H7" s="231"/>
      <c r="I7" s="231"/>
      <c r="J7" s="232"/>
    </row>
    <row r="8" spans="1:45">
      <c r="B8" s="228" t="s">
        <v>116</v>
      </c>
      <c r="C8" s="229"/>
      <c r="D8" s="230" t="str">
        <f>エンティティ一覧!AE2&amp;"_"&amp;D5&amp;"_merge_receiptc_tr"</f>
        <v>azn_202310_backup_merge_receiptc_tr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milscm_2023_010.azn_202310_backup_merge_receiptc_tr;</v>
      </c>
      <c r="O10" s="78"/>
      <c r="P10" s="78"/>
      <c r="Q10" s="78"/>
      <c r="R10" s="78"/>
      <c r="S10" s="78"/>
      <c r="T10" s="78"/>
      <c r="AJ10" s="78" t="str">
        <f>"ALTER TABLE ONLY "&amp;エンティティ一覧!$O$2&amp;"."&amp;D$8</f>
        <v>ALTER TABLE ONLY milscm_2023_010.azn_202310_backup_merge_receiptc_tr</v>
      </c>
      <c r="AS10" s="78" t="str">
        <f>"ALTER TABLE "&amp;エンティティ一覧!$O$2&amp;"."&amp;D$8&amp;" OWNER TO pgmisgrp1;"</f>
        <v>ALTER TABLE milscm_2023_010.azn_202310_backup_merge_receiptc_tr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milscm_2023_010.azn_202310_backup_merge_receiptc_tr</v>
      </c>
      <c r="O11" s="78"/>
      <c r="P11" s="78"/>
      <c r="Q11" s="78"/>
      <c r="R11" s="78"/>
      <c r="S11" s="78"/>
      <c r="T11" s="78"/>
      <c r="AJ11" s="78" t="str">
        <f>"ADD CONSTRAINT "&amp;D$8&amp;"_pkey PRIMARY KEY"</f>
        <v>ADD CONSTRAINT azn_202310_backup_merge_receiptc_tr_pkey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milscm_2023_010.azn_202310_backup_merge_receiptc_tr IS 'バックアップ_医科レセプト_臓器提供者レセプト情報レコード';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7" si="0">UPPER(G13)</f>
        <v>TEXT</v>
      </c>
      <c r="R13" s="78" t="str">
        <f t="shared" ref="R13:R4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milscm_2023_010.azn_202310_backup_merge_receiptc_tr.torikomi_ym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4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milscm_2023_010.azn_202310_backup_merge_receiptc_tr.mil_karute_id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milscm_2023_010.azn_202310_backup_merge_receiptc_tr.facility_id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47" si="5">IF(I16="○","NOT NULL","")</f>
        <v>NOT NULL</v>
      </c>
      <c r="T16" s="78" t="str">
        <f t="shared" ref="T16:T47"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milscm_2023_010.azn_202310_backup_merge_receiptc_tr.seikyu_ym IS '請求年月';</v>
      </c>
    </row>
    <row r="17" spans="2:45"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milscm_2023_010.azn_202310_backup_merge_receiptc_tr.shinryo_ym IS '診療年月';</v>
      </c>
    </row>
    <row r="18" spans="2:45"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milscm_2023_010.azn_202310_backup_merge_receiptc_tr.data_type IS 'データ種別';</v>
      </c>
    </row>
    <row r="19" spans="2:45"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milscm_2023_010.azn_202310_backup_merge_receiptc_tr.shinsa_kikan IS '審査支払機関';</v>
      </c>
    </row>
    <row r="20" spans="2:45" s="25" customFormat="1">
      <c r="B20" s="21">
        <f t="shared" si="2"/>
        <v>8</v>
      </c>
      <c r="C20" s="13" t="s">
        <v>953</v>
      </c>
      <c r="D20" s="13" t="s">
        <v>954</v>
      </c>
      <c r="E20" s="7"/>
      <c r="F20" s="7" t="s">
        <v>868</v>
      </c>
      <c r="G20" s="7" t="str">
        <f t="shared" si="3"/>
        <v>text</v>
      </c>
      <c r="H20" s="58" t="s">
        <v>1238</v>
      </c>
      <c r="I20" s="23" t="s">
        <v>127</v>
      </c>
      <c r="J20" s="24" t="s">
        <v>1239</v>
      </c>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milscm_2023_010.azn_202310_backup_merge_receiptc_tr.record_shikibetsu IS 'レコード識別情報';</v>
      </c>
    </row>
    <row r="21" spans="2:45"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milscm_2023_010.azn_202310_backup_merge_receiptc_tr.receipt_no IS 'レセプト番号';</v>
      </c>
    </row>
    <row r="22" spans="2:45" s="25" customFormat="1">
      <c r="B22" s="21">
        <f t="shared" si="2"/>
        <v>10</v>
      </c>
      <c r="C22" s="13" t="s">
        <v>957</v>
      </c>
      <c r="D22" s="13" t="s">
        <v>958</v>
      </c>
      <c r="E22" s="7" t="s">
        <v>127</v>
      </c>
      <c r="F22" s="7" t="s">
        <v>205</v>
      </c>
      <c r="G22" s="7" t="str">
        <f t="shared" si="3"/>
        <v>integer</v>
      </c>
      <c r="H22" s="58"/>
      <c r="I22" s="23" t="s">
        <v>127</v>
      </c>
      <c r="J22" s="24" t="s">
        <v>1162</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milscm_2023_010.azn_202310_backup_merge_receiptc_tr.gyo_no IS '行番号';</v>
      </c>
    </row>
    <row r="23" spans="2:45"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milscm_2023_010.azn_202310_backup_merge_receiptc_tr.karute_no IS 'カルテ番号等';</v>
      </c>
    </row>
    <row r="24" spans="2:45" s="25" customFormat="1" ht="31.5">
      <c r="B24" s="21">
        <f t="shared" si="2"/>
        <v>12</v>
      </c>
      <c r="C24" s="13" t="s">
        <v>1211</v>
      </c>
      <c r="D24" s="13" t="s">
        <v>1212</v>
      </c>
      <c r="E24" s="7"/>
      <c r="F24" s="7" t="s">
        <v>205</v>
      </c>
      <c r="G24" s="7" t="str">
        <f t="shared" si="3"/>
        <v>integer</v>
      </c>
      <c r="H24" s="58"/>
      <c r="I24" s="23"/>
      <c r="J24" s="24"/>
      <c r="N24" s="78"/>
      <c r="O24" s="78"/>
      <c r="P24" s="78" t="str">
        <f t="shared" si="4"/>
        <v>,receipt_no_tr</v>
      </c>
      <c r="Q24" s="78" t="str">
        <f t="shared" si="0"/>
        <v>INTEGER</v>
      </c>
      <c r="R24" s="78" t="str">
        <f t="shared" si="1"/>
        <v/>
      </c>
      <c r="S24" s="78" t="str">
        <f t="shared" si="5"/>
        <v/>
      </c>
      <c r="T24" s="78" t="str">
        <f t="shared" si="6"/>
        <v>-- レセプト番号（臓器提供者レセプト情報）</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milscm_2023_010.azn_202310_backup_merge_receiptc_tr.receipt_no_tr IS 'レセプト番号（臓器提供者レセプト情報）';</v>
      </c>
    </row>
    <row r="25" spans="2:45" s="25" customFormat="1">
      <c r="B25" s="21">
        <f t="shared" si="2"/>
        <v>13</v>
      </c>
      <c r="C25" s="13" t="s">
        <v>1213</v>
      </c>
      <c r="D25" s="13" t="s">
        <v>1214</v>
      </c>
      <c r="E25" s="7"/>
      <c r="F25" s="7" t="s">
        <v>868</v>
      </c>
      <c r="G25" s="7" t="str">
        <f t="shared" si="3"/>
        <v>text</v>
      </c>
      <c r="H25" s="58"/>
      <c r="I25" s="23"/>
      <c r="J25" s="24"/>
      <c r="N25" s="78"/>
      <c r="O25" s="78"/>
      <c r="P25" s="78" t="str">
        <f t="shared" si="4"/>
        <v>,zoki_receipt_type</v>
      </c>
      <c r="Q25" s="78" t="str">
        <f t="shared" si="0"/>
        <v>TEXT</v>
      </c>
      <c r="R25" s="78" t="str">
        <f t="shared" si="1"/>
        <v/>
      </c>
      <c r="S25" s="78" t="str">
        <f t="shared" si="5"/>
        <v/>
      </c>
      <c r="T25" s="78" t="str">
        <f t="shared" si="6"/>
        <v>-- 臓器提供者レセプト種別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milscm_2023_010.azn_202310_backup_merge_receiptc_tr.zoki_receipt_type IS '臓器提供者レセプト種別';</v>
      </c>
    </row>
    <row r="26" spans="2:45" s="25" customFormat="1" ht="56.25">
      <c r="B26" s="21">
        <f t="shared" si="2"/>
        <v>14</v>
      </c>
      <c r="C26" s="13" t="s">
        <v>1215</v>
      </c>
      <c r="D26" s="13" t="s">
        <v>1216</v>
      </c>
      <c r="E26" s="7"/>
      <c r="F26" s="7" t="s">
        <v>868</v>
      </c>
      <c r="G26" s="7" t="str">
        <f t="shared" si="3"/>
        <v>text</v>
      </c>
      <c r="H26" s="58"/>
      <c r="I26" s="23"/>
      <c r="J26" s="24" t="s">
        <v>976</v>
      </c>
      <c r="N26" s="78"/>
      <c r="O26" s="78"/>
      <c r="P26" s="78" t="str">
        <f t="shared" si="4"/>
        <v>,shinryo_ym_tr</v>
      </c>
      <c r="Q26" s="78" t="str">
        <f t="shared" si="0"/>
        <v>TEXT</v>
      </c>
      <c r="R26" s="78" t="str">
        <f t="shared" si="1"/>
        <v/>
      </c>
      <c r="S26" s="78" t="str">
        <f t="shared" si="5"/>
        <v/>
      </c>
      <c r="T26" s="78" t="str">
        <f t="shared" si="6"/>
        <v>-- 診療年月（臓器提供者レセプト情報）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milscm_2023_010.azn_202310_backup_merge_receiptc_tr.shinryo_ym_tr IS '診療年月（臓器提供者レセプト情報）';</v>
      </c>
    </row>
    <row r="27" spans="2:45" s="25" customFormat="1">
      <c r="B27" s="21">
        <f t="shared" si="2"/>
        <v>15</v>
      </c>
      <c r="C27" s="13" t="s">
        <v>967</v>
      </c>
      <c r="D27" s="13" t="s">
        <v>968</v>
      </c>
      <c r="E27" s="7"/>
      <c r="F27" s="7" t="s">
        <v>868</v>
      </c>
      <c r="G27" s="7" t="str">
        <f t="shared" si="3"/>
        <v>text</v>
      </c>
      <c r="H27" s="58"/>
      <c r="I27" s="23"/>
      <c r="J27" s="24"/>
      <c r="N27" s="78"/>
      <c r="O27" s="78"/>
      <c r="P27" s="78" t="str">
        <f t="shared" si="4"/>
        <v>,reserve1</v>
      </c>
      <c r="Q27" s="78" t="str">
        <f t="shared" si="0"/>
        <v>TEXT</v>
      </c>
      <c r="R27" s="78" t="str">
        <f t="shared" si="1"/>
        <v/>
      </c>
      <c r="S27" s="78" t="str">
        <f t="shared" si="5"/>
        <v/>
      </c>
      <c r="T27" s="78" t="str">
        <f t="shared" si="6"/>
        <v>-- 予備1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milscm_2023_010.azn_202310_backup_merge_receiptc_tr.reserve1 IS '予備1';</v>
      </c>
    </row>
    <row r="28" spans="2:45" s="25" customFormat="1">
      <c r="B28" s="21">
        <f t="shared" si="2"/>
        <v>16</v>
      </c>
      <c r="C28" s="13" t="s">
        <v>1217</v>
      </c>
      <c r="D28" s="13" t="s">
        <v>990</v>
      </c>
      <c r="E28" s="7"/>
      <c r="F28" s="7" t="s">
        <v>868</v>
      </c>
      <c r="G28" s="7" t="str">
        <f t="shared" si="3"/>
        <v>text</v>
      </c>
      <c r="H28" s="58"/>
      <c r="I28" s="23"/>
      <c r="J28" s="24" t="s">
        <v>1109</v>
      </c>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milscm_2023_010.azn_202310_backup_merge_receiptc_tr.sex_kubun IS '男女区分';</v>
      </c>
    </row>
    <row r="29" spans="2:45" s="25" customFormat="1" ht="93.75">
      <c r="B29" s="21">
        <f t="shared" si="2"/>
        <v>17</v>
      </c>
      <c r="C29" s="13" t="s">
        <v>570</v>
      </c>
      <c r="D29" s="13" t="s">
        <v>323</v>
      </c>
      <c r="E29" s="7"/>
      <c r="F29" s="7" t="s">
        <v>868</v>
      </c>
      <c r="G29" s="7" t="str">
        <f t="shared" si="3"/>
        <v>text</v>
      </c>
      <c r="H29" s="58"/>
      <c r="I29" s="23"/>
      <c r="J29" s="24" t="s">
        <v>1240</v>
      </c>
      <c r="N29" s="78"/>
      <c r="O29" s="78"/>
      <c r="P29" s="78" t="str">
        <f t="shared" si="4"/>
        <v>,birthday</v>
      </c>
      <c r="Q29" s="78" t="str">
        <f t="shared" si="0"/>
        <v>TEXT</v>
      </c>
      <c r="R29" s="78" t="str">
        <f t="shared" si="1"/>
        <v/>
      </c>
      <c r="S29" s="78" t="str">
        <f t="shared" si="5"/>
        <v/>
      </c>
      <c r="T29" s="78" t="str">
        <f t="shared" si="6"/>
        <v>-- 生年月日</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milscm_2023_010.azn_202310_backup_merge_receiptc_tr.birthday IS '生年月日';</v>
      </c>
    </row>
    <row r="30" spans="2:45" s="25" customFormat="1">
      <c r="B30" s="21">
        <f t="shared" si="2"/>
        <v>18</v>
      </c>
      <c r="C30" s="13" t="s">
        <v>1018</v>
      </c>
      <c r="D30" s="13" t="s">
        <v>1019</v>
      </c>
      <c r="E30" s="7"/>
      <c r="F30" s="7" t="s">
        <v>868</v>
      </c>
      <c r="G30" s="7" t="str">
        <f t="shared" si="3"/>
        <v>text</v>
      </c>
      <c r="H30" s="58"/>
      <c r="I30" s="23"/>
      <c r="J30" s="24"/>
      <c r="N30" s="78"/>
      <c r="O30" s="78"/>
      <c r="P30" s="78" t="str">
        <f t="shared" si="4"/>
        <v>,reserve2</v>
      </c>
      <c r="Q30" s="78" t="str">
        <f t="shared" si="0"/>
        <v>TEXT</v>
      </c>
      <c r="R30" s="78" t="str">
        <f t="shared" si="1"/>
        <v/>
      </c>
      <c r="S30" s="78" t="str">
        <f t="shared" si="5"/>
        <v/>
      </c>
      <c r="T30" s="78" t="str">
        <f t="shared" si="6"/>
        <v>-- 予備2</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milscm_2023_010.azn_202310_backup_merge_receiptc_tr.reserve2 IS '予備2';</v>
      </c>
    </row>
    <row r="31" spans="2:45" s="25" customFormat="1" ht="75">
      <c r="B31" s="21">
        <f t="shared" si="2"/>
        <v>19</v>
      </c>
      <c r="C31" s="13" t="s">
        <v>143</v>
      </c>
      <c r="D31" s="13" t="s">
        <v>156</v>
      </c>
      <c r="E31" s="7"/>
      <c r="F31" s="7" t="s">
        <v>868</v>
      </c>
      <c r="G31" s="7" t="str">
        <f t="shared" si="3"/>
        <v>text</v>
      </c>
      <c r="H31" s="58"/>
      <c r="I31" s="23"/>
      <c r="J31" s="24" t="s">
        <v>1111</v>
      </c>
      <c r="N31" s="78"/>
      <c r="O31" s="78"/>
      <c r="P31" s="78" t="str">
        <f t="shared" si="4"/>
        <v>,nyuin_ymd</v>
      </c>
      <c r="Q31" s="78" t="str">
        <f t="shared" si="0"/>
        <v>TEXT</v>
      </c>
      <c r="R31" s="78" t="str">
        <f t="shared" si="1"/>
        <v/>
      </c>
      <c r="S31" s="78" t="str">
        <f t="shared" si="5"/>
        <v/>
      </c>
      <c r="T31" s="78" t="str">
        <f t="shared" si="6"/>
        <v>-- 入院年月日</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milscm_2023_010.azn_202310_backup_merge_receiptc_tr.nyuin_ymd IS '入院年月日';</v>
      </c>
    </row>
    <row r="32" spans="2:45" s="25" customFormat="1">
      <c r="B32" s="21">
        <f t="shared" si="2"/>
        <v>20</v>
      </c>
      <c r="C32" s="13" t="s">
        <v>1218</v>
      </c>
      <c r="D32" s="13" t="s">
        <v>995</v>
      </c>
      <c r="E32" s="7"/>
      <c r="F32" s="7" t="s">
        <v>868</v>
      </c>
      <c r="G32" s="7" t="str">
        <f t="shared" si="3"/>
        <v>text</v>
      </c>
      <c r="H32" s="58"/>
      <c r="I32" s="23"/>
      <c r="J32" s="24" t="s">
        <v>1112</v>
      </c>
      <c r="N32" s="78"/>
      <c r="O32" s="78"/>
      <c r="P32" s="78" t="str">
        <f t="shared" si="4"/>
        <v>,ward_kubun1</v>
      </c>
      <c r="Q32" s="78" t="str">
        <f t="shared" si="0"/>
        <v>TEXT</v>
      </c>
      <c r="R32" s="78" t="str">
        <f t="shared" si="1"/>
        <v/>
      </c>
      <c r="S32" s="78" t="str">
        <f t="shared" si="5"/>
        <v/>
      </c>
      <c r="T32" s="78" t="str">
        <f t="shared" si="6"/>
        <v>-- 病棟区分1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milscm_2023_010.azn_202310_backup_merge_receiptc_tr.ward_kubun1 IS '病棟区分1';</v>
      </c>
    </row>
    <row r="33" spans="1:52" s="25" customFormat="1">
      <c r="B33" s="21">
        <f t="shared" si="2"/>
        <v>21</v>
      </c>
      <c r="C33" s="13" t="s">
        <v>1219</v>
      </c>
      <c r="D33" s="13" t="s">
        <v>997</v>
      </c>
      <c r="E33" s="7"/>
      <c r="F33" s="7" t="s">
        <v>868</v>
      </c>
      <c r="G33" s="7" t="str">
        <f t="shared" si="3"/>
        <v>text</v>
      </c>
      <c r="H33" s="58"/>
      <c r="I33" s="23"/>
      <c r="J33" s="24"/>
      <c r="N33" s="78"/>
      <c r="O33" s="78"/>
      <c r="P33" s="78" t="str">
        <f t="shared" si="4"/>
        <v>,ward_kubun2</v>
      </c>
      <c r="Q33" s="78" t="str">
        <f t="shared" si="0"/>
        <v>TEXT</v>
      </c>
      <c r="R33" s="78" t="str">
        <f t="shared" si="1"/>
        <v/>
      </c>
      <c r="S33" s="78" t="str">
        <f t="shared" si="5"/>
        <v/>
      </c>
      <c r="T33" s="78" t="str">
        <f t="shared" si="6"/>
        <v>-- 病棟区分2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milscm_2023_010.azn_202310_backup_merge_receiptc_tr.ward_kubun2 IS '病棟区分2';</v>
      </c>
    </row>
    <row r="34" spans="1:52" s="25" customFormat="1">
      <c r="B34" s="21">
        <f t="shared" si="2"/>
        <v>22</v>
      </c>
      <c r="C34" s="13" t="s">
        <v>1220</v>
      </c>
      <c r="D34" s="13" t="s">
        <v>999</v>
      </c>
      <c r="E34" s="7"/>
      <c r="F34" s="7" t="s">
        <v>868</v>
      </c>
      <c r="G34" s="7" t="str">
        <f t="shared" si="3"/>
        <v>text</v>
      </c>
      <c r="H34" s="58"/>
      <c r="I34" s="23"/>
      <c r="J34" s="24"/>
      <c r="N34" s="78"/>
      <c r="O34" s="78"/>
      <c r="P34" s="78" t="str">
        <f t="shared" si="4"/>
        <v>,ward_kubun3</v>
      </c>
      <c r="Q34" s="78" t="str">
        <f t="shared" si="0"/>
        <v>TEXT</v>
      </c>
      <c r="R34" s="78" t="str">
        <f t="shared" si="1"/>
        <v/>
      </c>
      <c r="S34" s="78" t="str">
        <f t="shared" si="5"/>
        <v/>
      </c>
      <c r="T34" s="78" t="str">
        <f t="shared" si="6"/>
        <v>-- 病棟区分3</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milscm_2023_010.azn_202310_backup_merge_receiptc_tr.ward_kubun3 IS '病棟区分3';</v>
      </c>
    </row>
    <row r="35" spans="1:52" s="25" customFormat="1">
      <c r="B35" s="21">
        <f t="shared" si="2"/>
        <v>23</v>
      </c>
      <c r="C35" s="13" t="s">
        <v>1221</v>
      </c>
      <c r="D35" s="13" t="s">
        <v>1001</v>
      </c>
      <c r="E35" s="7"/>
      <c r="F35" s="7" t="s">
        <v>868</v>
      </c>
      <c r="G35" s="7" t="str">
        <f t="shared" si="3"/>
        <v>text</v>
      </c>
      <c r="H35" s="58"/>
      <c r="I35" s="23"/>
      <c r="J35" s="24"/>
      <c r="N35" s="78"/>
      <c r="O35" s="78"/>
      <c r="P35" s="78" t="str">
        <f t="shared" si="4"/>
        <v>,ward_kubun4</v>
      </c>
      <c r="Q35" s="78" t="str">
        <f t="shared" si="0"/>
        <v>TEXT</v>
      </c>
      <c r="R35" s="78" t="str">
        <f t="shared" si="1"/>
        <v/>
      </c>
      <c r="S35" s="78" t="str">
        <f t="shared" si="5"/>
        <v/>
      </c>
      <c r="T35" s="78" t="str">
        <f t="shared" si="6"/>
        <v>-- 病棟区分4</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milscm_2023_010.azn_202310_backup_merge_receiptc_tr.ward_kubun4 IS '病棟区分4';</v>
      </c>
    </row>
    <row r="36" spans="1:52" s="25" customFormat="1">
      <c r="B36" s="21">
        <f t="shared" si="2"/>
        <v>24</v>
      </c>
      <c r="C36" s="13" t="s">
        <v>1020</v>
      </c>
      <c r="D36" s="13" t="s">
        <v>1021</v>
      </c>
      <c r="E36" s="7"/>
      <c r="F36" s="7" t="s">
        <v>868</v>
      </c>
      <c r="G36" s="7" t="str">
        <f t="shared" si="3"/>
        <v>text</v>
      </c>
      <c r="H36" s="58"/>
      <c r="I36" s="23"/>
      <c r="J36" s="24"/>
      <c r="N36" s="78"/>
      <c r="O36" s="78"/>
      <c r="P36" s="78" t="str">
        <f t="shared" si="4"/>
        <v>,reserve3</v>
      </c>
      <c r="Q36" s="78" t="str">
        <f t="shared" si="0"/>
        <v>TEXT</v>
      </c>
      <c r="R36" s="78" t="str">
        <f t="shared" si="1"/>
        <v/>
      </c>
      <c r="S36" s="78" t="str">
        <f t="shared" si="5"/>
        <v/>
      </c>
      <c r="T36" s="78" t="str">
        <f t="shared" si="6"/>
        <v>-- 予備3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milscm_2023_010.azn_202310_backup_merge_receiptc_tr.reserve3 IS '予備3';</v>
      </c>
    </row>
    <row r="37" spans="1:52" s="25" customFormat="1">
      <c r="B37" s="21">
        <f t="shared" si="2"/>
        <v>25</v>
      </c>
      <c r="C37" s="13" t="s">
        <v>1222</v>
      </c>
      <c r="D37" s="13" t="s">
        <v>1005</v>
      </c>
      <c r="E37" s="7"/>
      <c r="F37" s="7" t="s">
        <v>868</v>
      </c>
      <c r="G37" s="7" t="str">
        <f t="shared" si="3"/>
        <v>text</v>
      </c>
      <c r="H37" s="58"/>
      <c r="I37" s="23"/>
      <c r="J37" s="24" t="s">
        <v>1113</v>
      </c>
      <c r="N37" s="78"/>
      <c r="O37" s="78"/>
      <c r="P37" s="78" t="str">
        <f t="shared" si="4"/>
        <v>,receipt_tokki_code1</v>
      </c>
      <c r="Q37" s="78" t="str">
        <f t="shared" si="0"/>
        <v>TEXT</v>
      </c>
      <c r="R37" s="78" t="str">
        <f t="shared" si="1"/>
        <v/>
      </c>
      <c r="S37" s="78" t="str">
        <f t="shared" si="5"/>
        <v/>
      </c>
      <c r="T37" s="78" t="str">
        <f t="shared" si="6"/>
        <v>-- レセプト特記事項1</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milscm_2023_010.azn_202310_backup_merge_receiptc_tr.receipt_tokki_code1 IS 'レセプト特記事項1';</v>
      </c>
    </row>
    <row r="38" spans="1:52" s="25" customFormat="1">
      <c r="B38" s="21">
        <f t="shared" si="2"/>
        <v>26</v>
      </c>
      <c r="C38" s="13" t="s">
        <v>1223</v>
      </c>
      <c r="D38" s="13" t="s">
        <v>1007</v>
      </c>
      <c r="E38" s="7"/>
      <c r="F38" s="7" t="s">
        <v>868</v>
      </c>
      <c r="G38" s="7" t="str">
        <f t="shared" si="3"/>
        <v>text</v>
      </c>
      <c r="H38" s="58"/>
      <c r="I38" s="23"/>
      <c r="J38" s="24"/>
      <c r="N38" s="78"/>
      <c r="O38" s="78"/>
      <c r="P38" s="78" t="str">
        <f t="shared" si="4"/>
        <v>,receipt_tokki_code2</v>
      </c>
      <c r="Q38" s="78" t="str">
        <f t="shared" si="0"/>
        <v>TEXT</v>
      </c>
      <c r="R38" s="78" t="str">
        <f t="shared" si="1"/>
        <v/>
      </c>
      <c r="S38" s="78" t="str">
        <f t="shared" si="5"/>
        <v/>
      </c>
      <c r="T38" s="78" t="str">
        <f t="shared" si="6"/>
        <v>-- レセプト特記事項2</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milscm_2023_010.azn_202310_backup_merge_receiptc_tr.receipt_tokki_code2 IS 'レセプト特記事項2';</v>
      </c>
    </row>
    <row r="39" spans="1:52" s="25" customFormat="1">
      <c r="B39" s="21">
        <f t="shared" si="2"/>
        <v>27</v>
      </c>
      <c r="C39" s="13" t="s">
        <v>1224</v>
      </c>
      <c r="D39" s="13" t="s">
        <v>1009</v>
      </c>
      <c r="E39" s="7"/>
      <c r="F39" s="7" t="s">
        <v>868</v>
      </c>
      <c r="G39" s="7" t="str">
        <f t="shared" si="3"/>
        <v>text</v>
      </c>
      <c r="H39" s="58"/>
      <c r="I39" s="23"/>
      <c r="J39" s="24"/>
      <c r="N39" s="78"/>
      <c r="O39" s="78"/>
      <c r="P39" s="78" t="str">
        <f t="shared" si="4"/>
        <v>,receipt_tokki_code3</v>
      </c>
      <c r="Q39" s="78" t="str">
        <f t="shared" si="0"/>
        <v>TEXT</v>
      </c>
      <c r="R39" s="78" t="str">
        <f t="shared" si="1"/>
        <v/>
      </c>
      <c r="S39" s="78" t="str">
        <f t="shared" si="5"/>
        <v/>
      </c>
      <c r="T39" s="78" t="str">
        <f t="shared" si="6"/>
        <v>-- レセプト特記事項3</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milscm_2023_010.azn_202310_backup_merge_receiptc_tr.receipt_tokki_code3 IS 'レセプト特記事項3';</v>
      </c>
    </row>
    <row r="40" spans="1:52" s="25" customFormat="1">
      <c r="B40" s="21">
        <f t="shared" si="2"/>
        <v>28</v>
      </c>
      <c r="C40" s="13" t="s">
        <v>1225</v>
      </c>
      <c r="D40" s="13" t="s">
        <v>1011</v>
      </c>
      <c r="E40" s="7"/>
      <c r="F40" s="7" t="s">
        <v>868</v>
      </c>
      <c r="G40" s="7" t="str">
        <f t="shared" si="3"/>
        <v>text</v>
      </c>
      <c r="H40" s="58"/>
      <c r="I40" s="23"/>
      <c r="J40" s="24"/>
      <c r="N40" s="78"/>
      <c r="O40" s="78"/>
      <c r="P40" s="78" t="str">
        <f t="shared" si="4"/>
        <v>,receipt_tokki_code4</v>
      </c>
      <c r="Q40" s="78" t="str">
        <f t="shared" si="0"/>
        <v>TEXT</v>
      </c>
      <c r="R40" s="78" t="str">
        <f t="shared" si="1"/>
        <v/>
      </c>
      <c r="S40" s="78" t="str">
        <f t="shared" si="5"/>
        <v/>
      </c>
      <c r="T40" s="78" t="str">
        <f t="shared" si="6"/>
        <v>-- レセプト特記事項4</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milscm_2023_010.azn_202310_backup_merge_receiptc_tr.receipt_tokki_code4 IS 'レセプト特記事項4';</v>
      </c>
    </row>
    <row r="41" spans="1:52" s="25" customFormat="1">
      <c r="B41" s="21">
        <f t="shared" si="2"/>
        <v>29</v>
      </c>
      <c r="C41" s="13" t="s">
        <v>1226</v>
      </c>
      <c r="D41" s="13" t="s">
        <v>1013</v>
      </c>
      <c r="E41" s="7"/>
      <c r="F41" s="7" t="s">
        <v>868</v>
      </c>
      <c r="G41" s="7" t="str">
        <f t="shared" si="3"/>
        <v>text</v>
      </c>
      <c r="H41" s="58"/>
      <c r="I41" s="23"/>
      <c r="J41" s="24"/>
      <c r="N41" s="78"/>
      <c r="O41" s="78"/>
      <c r="P41" s="78" t="str">
        <f t="shared" si="4"/>
        <v>,receipt_tokki_code5</v>
      </c>
      <c r="Q41" s="78" t="str">
        <f t="shared" si="0"/>
        <v>TEXT</v>
      </c>
      <c r="R41" s="78" t="str">
        <f t="shared" si="1"/>
        <v/>
      </c>
      <c r="S41" s="78" t="str">
        <f t="shared" si="5"/>
        <v/>
      </c>
      <c r="T41" s="78" t="str">
        <f t="shared" si="6"/>
        <v>-- レセプト特記事項5</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milscm_2023_010.azn_202310_backup_merge_receiptc_tr.receipt_tokki_code5 IS 'レセプト特記事項5';</v>
      </c>
    </row>
    <row r="42" spans="1:52" s="25" customFormat="1">
      <c r="B42" s="21">
        <f t="shared" si="2"/>
        <v>30</v>
      </c>
      <c r="C42" s="13" t="s">
        <v>1227</v>
      </c>
      <c r="D42" s="13" t="s">
        <v>1228</v>
      </c>
      <c r="E42" s="7"/>
      <c r="F42" s="7" t="s">
        <v>868</v>
      </c>
      <c r="G42" s="7" t="str">
        <f t="shared" si="3"/>
        <v>text</v>
      </c>
      <c r="H42" s="58"/>
      <c r="I42" s="23"/>
      <c r="J42" s="24"/>
      <c r="N42" s="78"/>
      <c r="O42" s="78"/>
      <c r="P42" s="78" t="str">
        <f t="shared" si="4"/>
        <v>,reserve4</v>
      </c>
      <c r="Q42" s="78" t="str">
        <f t="shared" si="0"/>
        <v>TEXT</v>
      </c>
      <c r="R42" s="78" t="str">
        <f t="shared" si="1"/>
        <v/>
      </c>
      <c r="S42" s="78" t="str">
        <f t="shared" si="5"/>
        <v/>
      </c>
      <c r="T42" s="78" t="str">
        <f t="shared" si="6"/>
        <v>-- 予備4</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milscm_2023_010.azn_202310_backup_merge_receiptc_tr.reserve4 IS '予備4';</v>
      </c>
    </row>
    <row r="43" spans="1:52" s="25" customFormat="1" ht="31.5">
      <c r="B43" s="21">
        <f t="shared" si="2"/>
        <v>31</v>
      </c>
      <c r="C43" s="13" t="s">
        <v>1229</v>
      </c>
      <c r="D43" s="13" t="s">
        <v>1230</v>
      </c>
      <c r="E43" s="7"/>
      <c r="F43" s="7" t="s">
        <v>868</v>
      </c>
      <c r="G43" s="7" t="str">
        <f t="shared" si="3"/>
        <v>text</v>
      </c>
      <c r="H43" s="58"/>
      <c r="I43" s="23"/>
      <c r="J43" s="24"/>
      <c r="N43" s="78"/>
      <c r="O43" s="78"/>
      <c r="P43" s="78" t="str">
        <f t="shared" si="4"/>
        <v>,karute_no_tr</v>
      </c>
      <c r="Q43" s="78" t="str">
        <f t="shared" si="0"/>
        <v>TEXT</v>
      </c>
      <c r="R43" s="78" t="str">
        <f t="shared" si="1"/>
        <v/>
      </c>
      <c r="S43" s="78" t="str">
        <f t="shared" si="5"/>
        <v/>
      </c>
      <c r="T43" s="78" t="str">
        <f t="shared" si="6"/>
        <v>-- カルテ番号等（臓器提供者レセプト情報）</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milscm_2023_010.azn_202310_backup_merge_receiptc_tr.karute_no_tr IS 'カルテ番号等（臓器提供者レセプト情報）';</v>
      </c>
    </row>
    <row r="44" spans="1:52" s="25" customFormat="1">
      <c r="B44" s="21">
        <f t="shared" si="2"/>
        <v>32</v>
      </c>
      <c r="C44" s="13" t="s">
        <v>1231</v>
      </c>
      <c r="D44" s="13" t="s">
        <v>1017</v>
      </c>
      <c r="E44" s="7"/>
      <c r="F44" s="7" t="s">
        <v>205</v>
      </c>
      <c r="G44" s="7" t="str">
        <f t="shared" si="3"/>
        <v>integer</v>
      </c>
      <c r="H44" s="58"/>
      <c r="I44" s="23"/>
      <c r="J44" s="24"/>
      <c r="N44" s="78"/>
      <c r="O44" s="78"/>
      <c r="P44" s="78" t="str">
        <f t="shared" si="4"/>
        <v>,waribiki_tensu</v>
      </c>
      <c r="Q44" s="78" t="str">
        <f t="shared" si="0"/>
        <v>INTEGER</v>
      </c>
      <c r="R44" s="78" t="str">
        <f t="shared" si="1"/>
        <v/>
      </c>
      <c r="S44" s="78" t="str">
        <f t="shared" si="5"/>
        <v/>
      </c>
      <c r="T44" s="78" t="str">
        <f t="shared" si="6"/>
        <v>-- 割引点数単価</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milscm_2023_010.azn_202310_backup_merge_receiptc_tr.waribiki_tensu IS '割引点数単価';</v>
      </c>
    </row>
    <row r="45" spans="1:52" s="25" customFormat="1">
      <c r="B45" s="21">
        <f t="shared" si="2"/>
        <v>33</v>
      </c>
      <c r="C45" s="13" t="s">
        <v>1232</v>
      </c>
      <c r="D45" s="13" t="s">
        <v>1233</v>
      </c>
      <c r="E45" s="7"/>
      <c r="F45" s="7" t="s">
        <v>868</v>
      </c>
      <c r="G45" s="7" t="str">
        <f t="shared" si="3"/>
        <v>text</v>
      </c>
      <c r="H45" s="58"/>
      <c r="I45" s="23"/>
      <c r="J45" s="24"/>
      <c r="N45" s="78"/>
      <c r="O45" s="78"/>
      <c r="P45" s="78" t="str">
        <f t="shared" si="4"/>
        <v>,reserve5</v>
      </c>
      <c r="Q45" s="78" t="str">
        <f t="shared" si="0"/>
        <v>TEXT</v>
      </c>
      <c r="R45" s="78" t="str">
        <f t="shared" si="1"/>
        <v/>
      </c>
      <c r="S45" s="78" t="str">
        <f t="shared" si="5"/>
        <v/>
      </c>
      <c r="T45" s="78" t="str">
        <f t="shared" si="6"/>
        <v>-- 予備5</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milscm_2023_010.azn_202310_backup_merge_receiptc_tr.reserve5 IS '予備5';</v>
      </c>
    </row>
    <row r="46" spans="1:52" s="25" customFormat="1">
      <c r="B46" s="21">
        <f t="shared" si="2"/>
        <v>34</v>
      </c>
      <c r="C46" s="13" t="s">
        <v>1234</v>
      </c>
      <c r="D46" s="13" t="s">
        <v>1235</v>
      </c>
      <c r="E46" s="7"/>
      <c r="F46" s="7" t="s">
        <v>868</v>
      </c>
      <c r="G46" s="7" t="str">
        <f t="shared" si="3"/>
        <v>text</v>
      </c>
      <c r="H46" s="58"/>
      <c r="I46" s="23"/>
      <c r="J46" s="24"/>
      <c r="N46" s="78"/>
      <c r="O46" s="78"/>
      <c r="P46" s="78" t="str">
        <f t="shared" si="4"/>
        <v>,reserve6</v>
      </c>
      <c r="Q46" s="78" t="str">
        <f t="shared" si="0"/>
        <v>TEXT</v>
      </c>
      <c r="R46" s="78" t="str">
        <f t="shared" si="1"/>
        <v/>
      </c>
      <c r="S46" s="78" t="str">
        <f t="shared" si="5"/>
        <v/>
      </c>
      <c r="T46" s="78" t="str">
        <f t="shared" si="6"/>
        <v>-- 予備6</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milscm_2023_010.azn_202310_backup_merge_receiptc_tr.reserve6 IS '予備6';</v>
      </c>
    </row>
    <row r="47" spans="1:52" s="25" customFormat="1" ht="19.5" thickBot="1">
      <c r="A47" s="4"/>
      <c r="B47" s="27">
        <f>ROW()-12</f>
        <v>35</v>
      </c>
      <c r="C47" s="57" t="s">
        <v>1236</v>
      </c>
      <c r="D47" s="57" t="s">
        <v>1237</v>
      </c>
      <c r="E47" s="56"/>
      <c r="F47" s="56" t="s">
        <v>868</v>
      </c>
      <c r="G47" s="56" t="str">
        <f t="shared" si="3"/>
        <v>text</v>
      </c>
      <c r="H47" s="59"/>
      <c r="I47" s="60"/>
      <c r="J47" s="64"/>
      <c r="N47" s="78"/>
      <c r="O47" s="78"/>
      <c r="P47" s="78" t="str">
        <f t="shared" si="4"/>
        <v>,reserve7</v>
      </c>
      <c r="Q47" s="78" t="str">
        <f t="shared" si="0"/>
        <v>TEXT</v>
      </c>
      <c r="R47" s="78" t="str">
        <f t="shared" si="1"/>
        <v/>
      </c>
      <c r="S47" s="78" t="str">
        <f t="shared" si="5"/>
        <v/>
      </c>
      <c r="T47" s="78" t="str">
        <f t="shared" si="6"/>
        <v>-- 予備7</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milscm_2023_010.azn_202310_backup_merge_receiptc_tr.reserve7 IS '予備7';</v>
      </c>
    </row>
    <row r="48" spans="1:52">
      <c r="L48" s="25"/>
      <c r="M48" s="25"/>
      <c r="N48" s="78" t="s">
        <v>142</v>
      </c>
      <c r="O48" s="78"/>
      <c r="P48" s="78"/>
      <c r="Q48" s="78"/>
      <c r="R48" s="78"/>
      <c r="S48" s="78"/>
      <c r="T48" s="78"/>
      <c r="V48" s="25"/>
      <c r="W48" s="25"/>
      <c r="X48" s="25"/>
      <c r="Y48" s="25"/>
      <c r="Z48" s="25"/>
      <c r="AJ48" s="78"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300-000000000000}"/>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AZ5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ENT_01_C3-01</v>
      </c>
      <c r="E6" s="239"/>
      <c r="F6" s="239"/>
      <c r="G6" s="239"/>
      <c r="H6" s="239"/>
      <c r="I6" s="239"/>
      <c r="J6" s="240"/>
    </row>
    <row r="7" spans="1:45">
      <c r="B7" s="228" t="s">
        <v>115</v>
      </c>
      <c r="C7" s="229"/>
      <c r="D7" s="230" t="s">
        <v>1242</v>
      </c>
      <c r="E7" s="231"/>
      <c r="F7" s="231"/>
      <c r="G7" s="231"/>
      <c r="H7" s="231"/>
      <c r="I7" s="231"/>
      <c r="J7" s="232"/>
    </row>
    <row r="8" spans="1:45">
      <c r="B8" s="228" t="s">
        <v>116</v>
      </c>
      <c r="C8" s="229"/>
      <c r="D8" s="230" t="str">
        <f>エンティティ一覧!AE2&amp;"_"&amp;D5&amp;"_merge_receiptd_ir"</f>
        <v>azn_202310_backup_merge_receiptd_ir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milscm_2023_010.azn_202310_backup_merge_receiptd_ir;</v>
      </c>
      <c r="O10" s="78"/>
      <c r="P10" s="78"/>
      <c r="Q10" s="78"/>
      <c r="R10" s="78"/>
      <c r="S10" s="78"/>
      <c r="T10" s="78"/>
      <c r="AJ10" s="78" t="str">
        <f>"ALTER TABLE ONLY "&amp;エンティティ一覧!$O$2&amp;"."&amp;D$8</f>
        <v>ALTER TABLE ONLY milscm_2023_010.azn_202310_backup_merge_receiptd_ir</v>
      </c>
      <c r="AS10" s="78" t="str">
        <f>"ALTER TABLE "&amp;エンティティ一覧!$O$2&amp;"."&amp;D$8&amp;" OWNER TO pgmisgrp1;"</f>
        <v>ALTER TABLE milscm_2023_010.azn_202310_backup_merge_receiptd_ir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milscm_2023_010.azn_202310_backup_merge_receiptd_ir</v>
      </c>
      <c r="O11" s="78"/>
      <c r="P11" s="78"/>
      <c r="Q11" s="78"/>
      <c r="R11" s="78"/>
      <c r="S11" s="78"/>
      <c r="T11" s="78"/>
      <c r="AJ11" s="78" t="str">
        <f>"ADD CONSTRAINT "&amp;D$8&amp;"_pkey PRIMARY KEY"</f>
        <v>ADD CONSTRAINT azn_202310_backup_merge_receiptd_ir_pkey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milscm_2023_010.azn_202310_backup_merge_receiptd_ir IS 'バックアップ_DPCレセプト_医療機関情報レコード';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1" si="0">UPPER(G13)</f>
        <v>TEXT</v>
      </c>
      <c r="R13" s="78" t="str">
        <f t="shared" ref="R13:R3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milscm_2023_010.azn_202310_backup_merge_receiptd_ir.torikomi_ym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milscm_2023_010.azn_202310_backup_merge_receiptd_ir.mil_karute_id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milscm_2023_010.azn_202310_backup_merge_receiptd_ir.facility_id IS '施設ID';</v>
      </c>
    </row>
    <row r="16" spans="1:45" s="25" customFormat="1" ht="56.25">
      <c r="B16" s="21">
        <f t="shared" si="2"/>
        <v>4</v>
      </c>
      <c r="C16" s="6" t="s">
        <v>949</v>
      </c>
      <c r="D16" s="6" t="s">
        <v>950</v>
      </c>
      <c r="E16" s="8" t="s">
        <v>127</v>
      </c>
      <c r="F16" s="7" t="s">
        <v>868</v>
      </c>
      <c r="G16" s="7" t="str">
        <f t="shared" si="3"/>
        <v>text</v>
      </c>
      <c r="H16" s="26"/>
      <c r="I16" s="10" t="s">
        <v>127</v>
      </c>
      <c r="J16" s="53" t="s">
        <v>976</v>
      </c>
      <c r="M16" s="4"/>
      <c r="N16" s="78"/>
      <c r="O16" s="78"/>
      <c r="P16" s="78" t="str">
        <f t="shared" si="4"/>
        <v>,seikyu_ym</v>
      </c>
      <c r="Q16" s="78" t="str">
        <f t="shared" si="0"/>
        <v>TEXT</v>
      </c>
      <c r="R16" s="78" t="str">
        <f t="shared" si="1"/>
        <v/>
      </c>
      <c r="S16" s="78" t="str">
        <f t="shared" ref="S16:S31" si="5">IF(I16="○","NOT NULL","")</f>
        <v>NOT NULL</v>
      </c>
      <c r="T16" s="78" t="str">
        <f t="shared" ref="T16:T31"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milscm_2023_010.azn_202310_backup_merge_receiptd_ir.seikyu_ym IS '請求年月';</v>
      </c>
    </row>
    <row r="17" spans="1:52" s="25" customFormat="1" ht="75">
      <c r="B17" s="21">
        <f t="shared" si="2"/>
        <v>5</v>
      </c>
      <c r="C17" s="13" t="s">
        <v>869</v>
      </c>
      <c r="D17" s="13" t="s">
        <v>207</v>
      </c>
      <c r="E17" s="7" t="s">
        <v>127</v>
      </c>
      <c r="F17" s="7" t="s">
        <v>868</v>
      </c>
      <c r="G17" s="7" t="str">
        <f t="shared" si="3"/>
        <v>text</v>
      </c>
      <c r="H17" s="58"/>
      <c r="I17" s="23" t="s">
        <v>127</v>
      </c>
      <c r="J17" s="24" t="s">
        <v>982</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milscm_2023_010.azn_202310_backup_merge_receiptd_ir.shinryo_ym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milscm_2023_010.azn_202310_backup_merge_receiptd_ir.data_type IS 'データ種別';</v>
      </c>
    </row>
    <row r="19" spans="1:52" s="25" customFormat="1">
      <c r="B19" s="21">
        <f t="shared" si="2"/>
        <v>7</v>
      </c>
      <c r="C19" s="13" t="s">
        <v>951</v>
      </c>
      <c r="D19" s="13" t="s">
        <v>952</v>
      </c>
      <c r="E19" s="7" t="s">
        <v>127</v>
      </c>
      <c r="F19" s="7" t="s">
        <v>868</v>
      </c>
      <c r="G19" s="7" t="str">
        <f t="shared" si="3"/>
        <v>text</v>
      </c>
      <c r="H19" s="58"/>
      <c r="I19" s="23" t="s">
        <v>127</v>
      </c>
      <c r="J19" s="2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milscm_2023_010.azn_202310_backup_merge_receiptd_ir.shinsa_kikan IS '審査支払機関';</v>
      </c>
    </row>
    <row r="20" spans="1:52" s="25" customFormat="1">
      <c r="B20" s="21">
        <f t="shared" si="2"/>
        <v>8</v>
      </c>
      <c r="C20" s="13" t="s">
        <v>953</v>
      </c>
      <c r="D20" s="13" t="s">
        <v>954</v>
      </c>
      <c r="E20" s="7"/>
      <c r="F20" s="7" t="s">
        <v>868</v>
      </c>
      <c r="G20" s="7" t="str">
        <f t="shared" si="3"/>
        <v>text</v>
      </c>
      <c r="H20" s="58" t="s">
        <v>979</v>
      </c>
      <c r="I20" s="23" t="s">
        <v>127</v>
      </c>
      <c r="J20" s="24" t="s">
        <v>980</v>
      </c>
      <c r="N20" s="78"/>
      <c r="O20" s="78"/>
      <c r="P20" s="78" t="str">
        <f t="shared" si="4"/>
        <v>,record_shikibetsu</v>
      </c>
      <c r="Q20" s="78" t="str">
        <f t="shared" si="0"/>
        <v>TEXT</v>
      </c>
      <c r="R20" s="78" t="str">
        <f t="shared" si="1"/>
        <v>default 'IR'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milscm_2023_010.azn_202310_backup_merge_receiptd_ir.record_shikibetsu IS 'レコード識別情報';</v>
      </c>
    </row>
    <row r="21" spans="1:52" s="25" customFormat="1">
      <c r="B21" s="21">
        <f t="shared" si="2"/>
        <v>9</v>
      </c>
      <c r="C21" s="13" t="s">
        <v>955</v>
      </c>
      <c r="D21" s="13" t="s">
        <v>956</v>
      </c>
      <c r="E21" s="7" t="s">
        <v>127</v>
      </c>
      <c r="F21" s="7" t="s">
        <v>205</v>
      </c>
      <c r="G21" s="7" t="str">
        <f t="shared" si="3"/>
        <v>integer</v>
      </c>
      <c r="H21" s="58">
        <v>0</v>
      </c>
      <c r="I21" s="23" t="s">
        <v>127</v>
      </c>
      <c r="J21" s="24" t="s">
        <v>981</v>
      </c>
      <c r="N21" s="78"/>
      <c r="O21" s="78"/>
      <c r="P21" s="78" t="str">
        <f t="shared" si="4"/>
        <v>,receipt_no</v>
      </c>
      <c r="Q21" s="78" t="str">
        <f t="shared" si="0"/>
        <v>INTEGER</v>
      </c>
      <c r="R21" s="78" t="str">
        <f t="shared" si="1"/>
        <v>default 0</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milscm_2023_010.azn_202310_backup_merge_receiptd_ir.receipt_no IS 'レセプト番号';</v>
      </c>
    </row>
    <row r="22" spans="1:52" s="25" customFormat="1">
      <c r="B22" s="21">
        <f t="shared" si="2"/>
        <v>10</v>
      </c>
      <c r="C22" s="13" t="s">
        <v>957</v>
      </c>
      <c r="D22" s="13" t="s">
        <v>958</v>
      </c>
      <c r="E22" s="7" t="s">
        <v>127</v>
      </c>
      <c r="F22" s="7" t="s">
        <v>205</v>
      </c>
      <c r="G22" s="7" t="str">
        <f t="shared" si="3"/>
        <v>integer</v>
      </c>
      <c r="H22" s="58">
        <v>0</v>
      </c>
      <c r="I22" s="23" t="s">
        <v>127</v>
      </c>
      <c r="J22" s="24" t="s">
        <v>981</v>
      </c>
      <c r="N22" s="78"/>
      <c r="O22" s="78"/>
      <c r="P22" s="78" t="str">
        <f t="shared" si="4"/>
        <v>,gyo_no</v>
      </c>
      <c r="Q22" s="78" t="str">
        <f t="shared" si="0"/>
        <v>INTEGER</v>
      </c>
      <c r="R22" s="78" t="str">
        <f t="shared" si="1"/>
        <v>default 0</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milscm_2023_010.azn_202310_backup_merge_receiptd_ir.gyo_no IS '行番号';</v>
      </c>
    </row>
    <row r="23" spans="1:52" s="25" customFormat="1">
      <c r="B23" s="21">
        <f t="shared" si="2"/>
        <v>11</v>
      </c>
      <c r="C23" s="13" t="s">
        <v>959</v>
      </c>
      <c r="D23" s="13" t="s">
        <v>960</v>
      </c>
      <c r="E23" s="7"/>
      <c r="F23" s="7" t="s">
        <v>868</v>
      </c>
      <c r="G23" s="7" t="str">
        <f t="shared" si="3"/>
        <v>text</v>
      </c>
      <c r="H23" s="58"/>
      <c r="I23" s="23"/>
      <c r="J23" s="24" t="s">
        <v>866</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milscm_2023_010.azn_202310_backup_merge_receiptd_ir.karute_no IS 'カルテ番号等';</v>
      </c>
    </row>
    <row r="24" spans="1:52" s="25" customFormat="1">
      <c r="B24" s="21">
        <f t="shared" si="2"/>
        <v>12</v>
      </c>
      <c r="C24" s="13" t="s">
        <v>1243</v>
      </c>
      <c r="D24" s="13" t="s">
        <v>1244</v>
      </c>
      <c r="E24" s="7"/>
      <c r="F24" s="7" t="s">
        <v>868</v>
      </c>
      <c r="G24" s="7" t="str">
        <f t="shared" si="3"/>
        <v>text</v>
      </c>
      <c r="H24" s="58"/>
      <c r="I24" s="23"/>
      <c r="J24" s="24" t="s">
        <v>866</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milscm_2023_010.azn_202310_backup_merge_receiptd_ir.receipt_sokatsu_kubun IS 'レセプト総括区分';</v>
      </c>
    </row>
    <row r="25" spans="1:52" s="25" customFormat="1">
      <c r="B25" s="21">
        <f t="shared" si="2"/>
        <v>13</v>
      </c>
      <c r="C25" s="13" t="s">
        <v>961</v>
      </c>
      <c r="D25" s="13" t="s">
        <v>962</v>
      </c>
      <c r="E25" s="7"/>
      <c r="F25" s="7" t="s">
        <v>868</v>
      </c>
      <c r="G25" s="7" t="str">
        <f t="shared" si="3"/>
        <v>text</v>
      </c>
      <c r="H25" s="58"/>
      <c r="I25" s="23"/>
      <c r="J25" s="24"/>
      <c r="N25" s="78"/>
      <c r="O25" s="78"/>
      <c r="P25" s="78" t="str">
        <f t="shared" si="4"/>
        <v>,prefecture</v>
      </c>
      <c r="Q25" s="78" t="str">
        <f t="shared" si="0"/>
        <v>TEXT</v>
      </c>
      <c r="R25" s="78" t="str">
        <f t="shared" si="1"/>
        <v/>
      </c>
      <c r="S25" s="78" t="str">
        <f t="shared" si="5"/>
        <v/>
      </c>
      <c r="T25" s="78" t="str">
        <f t="shared" si="6"/>
        <v>-- 都道府県</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milscm_2023_010.azn_202310_backup_merge_receiptd_ir.prefecture IS '都道府県';</v>
      </c>
    </row>
    <row r="26" spans="1:52" s="25" customFormat="1">
      <c r="B26" s="21">
        <f t="shared" si="2"/>
        <v>14</v>
      </c>
      <c r="C26" s="13" t="s">
        <v>963</v>
      </c>
      <c r="D26" s="13" t="s">
        <v>964</v>
      </c>
      <c r="E26" s="7"/>
      <c r="F26" s="7" t="s">
        <v>868</v>
      </c>
      <c r="G26" s="7" t="str">
        <f t="shared" si="3"/>
        <v>text</v>
      </c>
      <c r="H26" s="58"/>
      <c r="I26" s="23"/>
      <c r="J26" s="24"/>
      <c r="N26" s="78"/>
      <c r="O26" s="78"/>
      <c r="P26" s="78" t="str">
        <f t="shared" si="4"/>
        <v>,tensuhyo</v>
      </c>
      <c r="Q26" s="78" t="str">
        <f t="shared" si="0"/>
        <v>TEXT</v>
      </c>
      <c r="R26" s="78" t="str">
        <f t="shared" si="1"/>
        <v/>
      </c>
      <c r="S26" s="78" t="str">
        <f t="shared" si="5"/>
        <v/>
      </c>
      <c r="T26" s="78" t="str">
        <f t="shared" si="6"/>
        <v>-- 点数表</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milscm_2023_010.azn_202310_backup_merge_receiptd_ir.tensuhyo IS '点数表';</v>
      </c>
    </row>
    <row r="27" spans="1:52" s="25" customFormat="1">
      <c r="B27" s="21">
        <f t="shared" si="2"/>
        <v>15</v>
      </c>
      <c r="C27" s="13" t="s">
        <v>965</v>
      </c>
      <c r="D27" s="13" t="s">
        <v>966</v>
      </c>
      <c r="E27" s="7"/>
      <c r="F27" s="7" t="s">
        <v>868</v>
      </c>
      <c r="G27" s="7" t="str">
        <f t="shared" si="3"/>
        <v>text</v>
      </c>
      <c r="H27" s="58"/>
      <c r="I27" s="23"/>
      <c r="J27" s="24"/>
      <c r="N27" s="78"/>
      <c r="O27" s="78"/>
      <c r="P27" s="78" t="str">
        <f t="shared" si="4"/>
        <v>,hospital_code</v>
      </c>
      <c r="Q27" s="78" t="str">
        <f t="shared" si="0"/>
        <v>TEXT</v>
      </c>
      <c r="R27" s="78" t="str">
        <f t="shared" si="1"/>
        <v/>
      </c>
      <c r="S27" s="78" t="str">
        <f t="shared" si="5"/>
        <v/>
      </c>
      <c r="T27" s="78" t="str">
        <f t="shared" si="6"/>
        <v>-- 医療機関コード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milscm_2023_010.azn_202310_backup_merge_receiptd_ir.hospital_code IS '医療機関コード';</v>
      </c>
    </row>
    <row r="28" spans="1:52" s="25" customFormat="1">
      <c r="B28" s="21">
        <f t="shared" si="2"/>
        <v>16</v>
      </c>
      <c r="C28" s="13" t="s">
        <v>967</v>
      </c>
      <c r="D28" s="13" t="s">
        <v>968</v>
      </c>
      <c r="E28" s="7"/>
      <c r="F28" s="7" t="s">
        <v>868</v>
      </c>
      <c r="G28" s="7" t="str">
        <f t="shared" si="3"/>
        <v>text</v>
      </c>
      <c r="H28" s="58"/>
      <c r="I28" s="23"/>
      <c r="J28" s="2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milscm_2023_010.azn_202310_backup_merge_receiptd_ir.reserve1 IS '予備1';</v>
      </c>
    </row>
    <row r="29" spans="1:52" s="25" customFormat="1">
      <c r="B29" s="21">
        <f t="shared" si="2"/>
        <v>17</v>
      </c>
      <c r="C29" s="13" t="s">
        <v>969</v>
      </c>
      <c r="D29" s="13" t="s">
        <v>970</v>
      </c>
      <c r="E29" s="7"/>
      <c r="F29" s="7" t="s">
        <v>868</v>
      </c>
      <c r="G29" s="7" t="str">
        <f t="shared" si="3"/>
        <v>text</v>
      </c>
      <c r="H29" s="58"/>
      <c r="I29" s="23"/>
      <c r="J29" s="24"/>
      <c r="N29" s="78"/>
      <c r="O29" s="78"/>
      <c r="P29" s="78" t="str">
        <f t="shared" si="4"/>
        <v>,hospital_name</v>
      </c>
      <c r="Q29" s="78" t="str">
        <f t="shared" si="0"/>
        <v>TEXT</v>
      </c>
      <c r="R29" s="78" t="str">
        <f t="shared" si="1"/>
        <v/>
      </c>
      <c r="S29" s="78" t="str">
        <f t="shared" si="5"/>
        <v/>
      </c>
      <c r="T29" s="78" t="str">
        <f t="shared" si="6"/>
        <v>-- 医療機関名称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milscm_2023_010.azn_202310_backup_merge_receiptd_ir.hospital_name IS '医療機関名称';</v>
      </c>
    </row>
    <row r="30" spans="1:52" s="25" customFormat="1">
      <c r="B30" s="21">
        <f t="shared" si="2"/>
        <v>18</v>
      </c>
      <c r="C30" s="13" t="s">
        <v>971</v>
      </c>
      <c r="D30" s="13" t="s">
        <v>972</v>
      </c>
      <c r="E30" s="7"/>
      <c r="F30" s="7" t="s">
        <v>868</v>
      </c>
      <c r="G30" s="7" t="str">
        <f t="shared" si="3"/>
        <v>text</v>
      </c>
      <c r="H30" s="58"/>
      <c r="I30" s="23"/>
      <c r="J30" s="24"/>
      <c r="N30" s="78"/>
      <c r="O30" s="78"/>
      <c r="P30" s="78" t="str">
        <f t="shared" si="4"/>
        <v>,multi_volume_shikibetsu</v>
      </c>
      <c r="Q30" s="78" t="str">
        <f t="shared" si="0"/>
        <v>TEXT</v>
      </c>
      <c r="R30" s="78" t="str">
        <f t="shared" si="1"/>
        <v/>
      </c>
      <c r="S30" s="78" t="str">
        <f t="shared" si="5"/>
        <v/>
      </c>
      <c r="T30" s="78" t="str">
        <f t="shared" si="6"/>
        <v>-- マルチボリューム識別情報</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milscm_2023_010.azn_202310_backup_merge_receiptd_ir.multi_volume_shikibetsu IS 'マルチボリューム識別情報';</v>
      </c>
    </row>
    <row r="31" spans="1:52" s="25" customFormat="1" ht="19.5" thickBot="1">
      <c r="A31" s="4"/>
      <c r="B31" s="27">
        <f>ROW()-12</f>
        <v>19</v>
      </c>
      <c r="C31" s="57" t="s">
        <v>973</v>
      </c>
      <c r="D31" s="57" t="s">
        <v>974</v>
      </c>
      <c r="E31" s="56"/>
      <c r="F31" s="56" t="s">
        <v>868</v>
      </c>
      <c r="G31" s="56" t="str">
        <f t="shared" si="3"/>
        <v>text</v>
      </c>
      <c r="H31" s="59"/>
      <c r="I31" s="60"/>
      <c r="J31" s="64"/>
      <c r="N31" s="78"/>
      <c r="O31" s="78"/>
      <c r="P31" s="78" t="str">
        <f t="shared" si="4"/>
        <v>,phone_no</v>
      </c>
      <c r="Q31" s="78" t="str">
        <f t="shared" si="0"/>
        <v>TEXT</v>
      </c>
      <c r="R31" s="78" t="str">
        <f t="shared" si="1"/>
        <v/>
      </c>
      <c r="S31" s="78" t="str">
        <f t="shared" si="5"/>
        <v/>
      </c>
      <c r="T31" s="78" t="str">
        <f t="shared" si="6"/>
        <v>-- 電話番号</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milscm_2023_010.azn_202310_backup_merge_receiptd_ir.phone_no IS '電話番号';</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400-000000000000}"/>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AZ9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ENT_01_C3-02</v>
      </c>
      <c r="E6" s="239"/>
      <c r="F6" s="239"/>
      <c r="G6" s="239"/>
      <c r="H6" s="239"/>
      <c r="I6" s="239"/>
      <c r="J6" s="240"/>
    </row>
    <row r="7" spans="1:45">
      <c r="B7" s="228" t="s">
        <v>115</v>
      </c>
      <c r="C7" s="229"/>
      <c r="D7" s="230" t="s">
        <v>1247</v>
      </c>
      <c r="E7" s="231"/>
      <c r="F7" s="231"/>
      <c r="G7" s="231"/>
      <c r="H7" s="231"/>
      <c r="I7" s="231"/>
      <c r="J7" s="232"/>
    </row>
    <row r="8" spans="1:45">
      <c r="B8" s="228" t="s">
        <v>116</v>
      </c>
      <c r="C8" s="229"/>
      <c r="D8" s="230" t="str">
        <f>エンティティ一覧!AE2&amp;"_"&amp;D5&amp;"_merge_receiptd_re"</f>
        <v>azn_202310_backup_merge_receiptd_re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milscm_2023_010.azn_202310_backup_merge_receiptd_re;</v>
      </c>
      <c r="O10" s="78"/>
      <c r="P10" s="78"/>
      <c r="Q10" s="78"/>
      <c r="R10" s="78"/>
      <c r="S10" s="78"/>
      <c r="T10" s="78"/>
      <c r="AJ10" s="78" t="str">
        <f>"ALTER TABLE ONLY "&amp;エンティティ一覧!$O$2&amp;"."&amp;D$8</f>
        <v>ALTER TABLE ONLY milscm_2023_010.azn_202310_backup_merge_receiptd_re</v>
      </c>
      <c r="AS10" s="78" t="str">
        <f>"ALTER TABLE "&amp;エンティティ一覧!$O$2&amp;"."&amp;D$8&amp;" OWNER TO pgmisgrp1;"</f>
        <v>ALTER TABLE milscm_2023_010.azn_202310_backup_merge_receiptd_re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milscm_2023_010.azn_202310_backup_merge_receiptd_re</v>
      </c>
      <c r="O11" s="78"/>
      <c r="P11" s="78"/>
      <c r="Q11" s="78"/>
      <c r="R11" s="78"/>
      <c r="S11" s="78"/>
      <c r="T11" s="78"/>
      <c r="AJ11" s="78" t="str">
        <f>"ADD CONSTRAINT "&amp;D$8&amp;"_pkey PRIMARY KEY"</f>
        <v>ADD CONSTRAINT azn_202310_backup_merge_receiptd_re_pkey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milscm_2023_010.azn_202310_backup_merge_receiptd_re IS 'バックアップ_DPCレセプト_レセプト共通レコード';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75" si="0">UPPER(G13)</f>
        <v>TEXT</v>
      </c>
      <c r="R13" s="78" t="str">
        <f t="shared" ref="R13:R7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milscm_2023_010.azn_202310_backup_merge_receiptd_re.torikomi_ym IS '取込年月';</v>
      </c>
    </row>
    <row r="14" spans="1:45" s="25" customFormat="1">
      <c r="A14" s="4"/>
      <c r="B14" s="21">
        <f t="shared" ref="B14:B74" si="2">ROW()-12</f>
        <v>2</v>
      </c>
      <c r="C14" s="6" t="s">
        <v>203</v>
      </c>
      <c r="D14" s="6" t="s">
        <v>204</v>
      </c>
      <c r="E14" s="8"/>
      <c r="F14" s="7" t="s">
        <v>205</v>
      </c>
      <c r="G14" s="7" t="str">
        <f t="shared" ref="G14:G75" si="3">IF(F14="フラグ","boolean",IF(F14="文字列","text",IF(F14="整数","integer",IF(F14="実数","numeric",""))))</f>
        <v>integer</v>
      </c>
      <c r="H14" s="26"/>
      <c r="I14" s="10"/>
      <c r="J14" s="11" t="s">
        <v>258</v>
      </c>
      <c r="M14" s="4"/>
      <c r="N14" s="78"/>
      <c r="O14" s="78"/>
      <c r="P14" s="78" t="str">
        <f t="shared" ref="P14:P7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milscm_2023_010.azn_202310_backup_merge_receiptd_re.mil_karute_id IS '千年カルテID';</v>
      </c>
    </row>
    <row r="15" spans="1:45" s="25" customFormat="1" ht="37.5">
      <c r="A15" s="4"/>
      <c r="B15" s="21">
        <f t="shared" si="2"/>
        <v>3</v>
      </c>
      <c r="C15" s="13" t="s">
        <v>137</v>
      </c>
      <c r="D15" s="13" t="s">
        <v>128</v>
      </c>
      <c r="E15" s="7" t="s">
        <v>127</v>
      </c>
      <c r="F15" s="7" t="s">
        <v>868</v>
      </c>
      <c r="G15" s="7" t="str">
        <f t="shared" ref="G15:G74" si="5">IF(F15="フラグ","boolean",IF(F15="文字列","text",IF(F15="整数","integer",IF(F15="実数","numeric",""))))</f>
        <v>text</v>
      </c>
      <c r="H15" s="58"/>
      <c r="I15" s="23" t="s">
        <v>127</v>
      </c>
      <c r="J15" s="24" t="s">
        <v>1245</v>
      </c>
      <c r="M15" s="4"/>
      <c r="N15" s="78"/>
      <c r="O15" s="78"/>
      <c r="P15" s="78" t="str">
        <f t="shared" ref="P15:P74" si="6">IF(B15&lt;&gt;1,","&amp;D15,D15)</f>
        <v>,facility_id</v>
      </c>
      <c r="Q15" s="78" t="str">
        <f t="shared" ref="Q15:Q74" si="7">UPPER(G15)</f>
        <v>TEXT</v>
      </c>
      <c r="R15" s="78" t="str">
        <f t="shared" ref="R15:R74" si="8">IF(H15&lt;&gt;"","default "&amp;IF(G15="text","'"&amp;H15&amp;"'",H15),"")</f>
        <v/>
      </c>
      <c r="S15" s="78" t="str">
        <f t="shared" ref="S15:S74" si="9">IF(I15="○","NOT NULL","")</f>
        <v>NOT NULL</v>
      </c>
      <c r="T15" s="78" t="str">
        <f t="shared" ref="T15:T74" si="10">"--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milscm_2023_010.azn_202310_backup_merge_receiptd_re.facility_id IS '施設ID';</v>
      </c>
    </row>
    <row r="16" spans="1:45" s="25" customFormat="1">
      <c r="A16" s="4"/>
      <c r="B16" s="21">
        <f t="shared" si="2"/>
        <v>4</v>
      </c>
      <c r="C16" s="13" t="s">
        <v>949</v>
      </c>
      <c r="D16" s="13" t="s">
        <v>950</v>
      </c>
      <c r="E16" s="7" t="s">
        <v>127</v>
      </c>
      <c r="F16" s="7" t="s">
        <v>868</v>
      </c>
      <c r="G16" s="7" t="str">
        <f t="shared" si="5"/>
        <v>text</v>
      </c>
      <c r="H16" s="58"/>
      <c r="I16" s="23" t="s">
        <v>127</v>
      </c>
      <c r="J16" s="24" t="s">
        <v>1100</v>
      </c>
      <c r="M16" s="4"/>
      <c r="N16" s="78"/>
      <c r="O16" s="78"/>
      <c r="P16" s="78" t="str">
        <f t="shared" si="6"/>
        <v>,seikyu_ym</v>
      </c>
      <c r="Q16" s="78" t="str">
        <f t="shared" si="7"/>
        <v>TEXT</v>
      </c>
      <c r="R16" s="78" t="str">
        <f t="shared" si="8"/>
        <v/>
      </c>
      <c r="S16" s="78" t="str">
        <f t="shared" si="9"/>
        <v>NOT NULL</v>
      </c>
      <c r="T16" s="78" t="str">
        <f t="shared" si="10"/>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milscm_2023_010.azn_202310_backup_merge_receiptd_re.seikyu_ym IS '請求年月';</v>
      </c>
    </row>
    <row r="17" spans="1:45" s="25" customFormat="1" ht="75">
      <c r="A17" s="4"/>
      <c r="B17" s="21">
        <f t="shared" si="2"/>
        <v>5</v>
      </c>
      <c r="C17" s="13" t="s">
        <v>869</v>
      </c>
      <c r="D17" s="13" t="s">
        <v>207</v>
      </c>
      <c r="E17" s="7" t="s">
        <v>127</v>
      </c>
      <c r="F17" s="7" t="s">
        <v>868</v>
      </c>
      <c r="G17" s="7" t="str">
        <f t="shared" si="5"/>
        <v>text</v>
      </c>
      <c r="H17" s="58"/>
      <c r="I17" s="23" t="s">
        <v>127</v>
      </c>
      <c r="J17" s="24" t="s">
        <v>1101</v>
      </c>
      <c r="M17" s="4"/>
      <c r="N17" s="78"/>
      <c r="O17" s="78"/>
      <c r="P17" s="78" t="str">
        <f t="shared" si="6"/>
        <v>,shinryo_ym</v>
      </c>
      <c r="Q17" s="78" t="str">
        <f t="shared" si="7"/>
        <v>TEXT</v>
      </c>
      <c r="R17" s="78" t="str">
        <f t="shared" si="8"/>
        <v/>
      </c>
      <c r="S17" s="78" t="str">
        <f t="shared" si="9"/>
        <v>NOT NULL</v>
      </c>
      <c r="T17" s="78" t="str">
        <f t="shared" si="10"/>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milscm_2023_010.azn_202310_backup_merge_receiptd_re.shinryo_ym IS '診療年月';</v>
      </c>
    </row>
    <row r="18" spans="1:45" s="25" customFormat="1">
      <c r="A18" s="4"/>
      <c r="B18" s="21">
        <f t="shared" si="2"/>
        <v>6</v>
      </c>
      <c r="C18" s="13" t="s">
        <v>320</v>
      </c>
      <c r="D18" s="13" t="s">
        <v>209</v>
      </c>
      <c r="E18" s="7"/>
      <c r="F18" s="7" t="s">
        <v>868</v>
      </c>
      <c r="G18" s="7" t="str">
        <f t="shared" si="5"/>
        <v>text</v>
      </c>
      <c r="H18" s="58" t="s">
        <v>977</v>
      </c>
      <c r="I18" s="23" t="s">
        <v>127</v>
      </c>
      <c r="J18" s="24" t="s">
        <v>978</v>
      </c>
      <c r="M18" s="4"/>
      <c r="N18" s="78"/>
      <c r="O18" s="78"/>
      <c r="P18" s="78" t="str">
        <f t="shared" si="6"/>
        <v>,data_type</v>
      </c>
      <c r="Q18" s="78" t="str">
        <f t="shared" si="7"/>
        <v>TEXT</v>
      </c>
      <c r="R18" s="78" t="str">
        <f t="shared" si="8"/>
        <v>default 'RCP'</v>
      </c>
      <c r="S18" s="78" t="str">
        <f t="shared" si="9"/>
        <v>NOT NULL</v>
      </c>
      <c r="T18" s="78" t="str">
        <f t="shared" si="10"/>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milscm_2023_010.azn_202310_backup_merge_receiptd_re.data_type IS 'データ種別';</v>
      </c>
    </row>
    <row r="19" spans="1:45" s="25" customFormat="1">
      <c r="A19" s="4"/>
      <c r="B19" s="21">
        <f t="shared" si="2"/>
        <v>7</v>
      </c>
      <c r="C19" s="13" t="s">
        <v>951</v>
      </c>
      <c r="D19" s="13" t="s">
        <v>952</v>
      </c>
      <c r="E19" s="7" t="s">
        <v>127</v>
      </c>
      <c r="F19" s="7" t="s">
        <v>868</v>
      </c>
      <c r="G19" s="7" t="str">
        <f t="shared" si="5"/>
        <v>text</v>
      </c>
      <c r="H19" s="58"/>
      <c r="I19" s="23" t="s">
        <v>127</v>
      </c>
      <c r="J19" s="24" t="s">
        <v>1102</v>
      </c>
      <c r="M19" s="4"/>
      <c r="N19" s="78"/>
      <c r="O19" s="78"/>
      <c r="P19" s="78" t="str">
        <f t="shared" si="6"/>
        <v>,shinsa_kikan</v>
      </c>
      <c r="Q19" s="78" t="str">
        <f t="shared" si="7"/>
        <v>TEXT</v>
      </c>
      <c r="R19" s="78" t="str">
        <f t="shared" si="8"/>
        <v/>
      </c>
      <c r="S19" s="78" t="str">
        <f t="shared" si="9"/>
        <v>NOT NULL</v>
      </c>
      <c r="T19" s="78" t="str">
        <f t="shared" si="10"/>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milscm_2023_010.azn_202310_backup_merge_receiptd_re.shinsa_kikan IS '審査支払機関';</v>
      </c>
    </row>
    <row r="20" spans="1:45" s="25" customFormat="1">
      <c r="A20" s="4"/>
      <c r="B20" s="21">
        <f t="shared" si="2"/>
        <v>8</v>
      </c>
      <c r="C20" s="13" t="s">
        <v>953</v>
      </c>
      <c r="D20" s="13" t="s">
        <v>954</v>
      </c>
      <c r="E20" s="7"/>
      <c r="F20" s="7" t="s">
        <v>868</v>
      </c>
      <c r="G20" s="7" t="str">
        <f t="shared" si="5"/>
        <v>text</v>
      </c>
      <c r="H20" s="58" t="s">
        <v>1103</v>
      </c>
      <c r="I20" s="23" t="s">
        <v>127</v>
      </c>
      <c r="J20" s="24" t="s">
        <v>1104</v>
      </c>
      <c r="M20" s="4"/>
      <c r="N20" s="78"/>
      <c r="O20" s="78"/>
      <c r="P20" s="78" t="str">
        <f t="shared" si="6"/>
        <v>,record_shikibetsu</v>
      </c>
      <c r="Q20" s="78" t="str">
        <f t="shared" si="7"/>
        <v>TEXT</v>
      </c>
      <c r="R20" s="78" t="str">
        <f t="shared" si="8"/>
        <v>default 'RE'</v>
      </c>
      <c r="S20" s="78" t="str">
        <f t="shared" si="9"/>
        <v>NOT NULL</v>
      </c>
      <c r="T20" s="78" t="str">
        <f t="shared" si="10"/>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milscm_2023_010.azn_202310_backup_merge_receiptd_re.record_shikibetsu IS 'レコード識別情報';</v>
      </c>
    </row>
    <row r="21" spans="1:45" s="25" customFormat="1">
      <c r="A21" s="4"/>
      <c r="B21" s="21">
        <f t="shared" si="2"/>
        <v>9</v>
      </c>
      <c r="C21" s="13" t="s">
        <v>955</v>
      </c>
      <c r="D21" s="13" t="s">
        <v>956</v>
      </c>
      <c r="E21" s="7" t="s">
        <v>127</v>
      </c>
      <c r="F21" s="7" t="s">
        <v>205</v>
      </c>
      <c r="G21" s="7" t="str">
        <f t="shared" si="5"/>
        <v>integer</v>
      </c>
      <c r="H21" s="58"/>
      <c r="I21" s="23" t="s">
        <v>127</v>
      </c>
      <c r="J21" s="24" t="s">
        <v>1105</v>
      </c>
      <c r="M21" s="4"/>
      <c r="N21" s="78"/>
      <c r="O21" s="78"/>
      <c r="P21" s="78" t="str">
        <f t="shared" si="6"/>
        <v>,receipt_no</v>
      </c>
      <c r="Q21" s="78" t="str">
        <f t="shared" si="7"/>
        <v>INTEGER</v>
      </c>
      <c r="R21" s="78" t="str">
        <f t="shared" si="8"/>
        <v/>
      </c>
      <c r="S21" s="78" t="str">
        <f t="shared" si="9"/>
        <v>NOT NULL</v>
      </c>
      <c r="T21" s="78" t="str">
        <f t="shared" si="10"/>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milscm_2023_010.azn_202310_backup_merge_receiptd_re.receipt_no IS 'レセプト番号';</v>
      </c>
    </row>
    <row r="22" spans="1:45" s="25" customFormat="1">
      <c r="A22" s="4"/>
      <c r="B22" s="21">
        <f t="shared" si="2"/>
        <v>10</v>
      </c>
      <c r="C22" s="13" t="s">
        <v>957</v>
      </c>
      <c r="D22" s="13" t="s">
        <v>958</v>
      </c>
      <c r="E22" s="7" t="s">
        <v>127</v>
      </c>
      <c r="F22" s="7" t="s">
        <v>205</v>
      </c>
      <c r="G22" s="7" t="str">
        <f t="shared" si="5"/>
        <v>integer</v>
      </c>
      <c r="H22" s="58"/>
      <c r="I22" s="23" t="s">
        <v>127</v>
      </c>
      <c r="J22" s="24" t="s">
        <v>1250</v>
      </c>
      <c r="M22" s="4"/>
      <c r="N22" s="78"/>
      <c r="O22" s="78"/>
      <c r="P22" s="78" t="str">
        <f t="shared" si="6"/>
        <v>,gyo_no</v>
      </c>
      <c r="Q22" s="78" t="str">
        <f t="shared" si="7"/>
        <v>INTEGER</v>
      </c>
      <c r="R22" s="78" t="str">
        <f t="shared" si="8"/>
        <v/>
      </c>
      <c r="S22" s="78" t="str">
        <f t="shared" si="9"/>
        <v>NOT NULL</v>
      </c>
      <c r="T22" s="78" t="str">
        <f t="shared" si="10"/>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milscm_2023_010.azn_202310_backup_merge_receiptd_re.gyo_no IS '行番号';</v>
      </c>
    </row>
    <row r="23" spans="1:45" s="25" customFormat="1">
      <c r="A23" s="4"/>
      <c r="B23" s="21">
        <f t="shared" si="2"/>
        <v>11</v>
      </c>
      <c r="C23" s="13" t="s">
        <v>959</v>
      </c>
      <c r="D23" s="13" t="s">
        <v>960</v>
      </c>
      <c r="E23" s="7"/>
      <c r="F23" s="7" t="s">
        <v>868</v>
      </c>
      <c r="G23" s="7" t="str">
        <f t="shared" si="5"/>
        <v>text</v>
      </c>
      <c r="H23" s="58"/>
      <c r="I23" s="23"/>
      <c r="J23" s="24" t="s">
        <v>1107</v>
      </c>
      <c r="M23" s="4"/>
      <c r="N23" s="78"/>
      <c r="O23" s="78"/>
      <c r="P23" s="78" t="str">
        <f t="shared" si="6"/>
        <v>,karute_no</v>
      </c>
      <c r="Q23" s="78" t="str">
        <f t="shared" si="7"/>
        <v>TEXT</v>
      </c>
      <c r="R23" s="78" t="str">
        <f t="shared" si="8"/>
        <v/>
      </c>
      <c r="S23" s="78" t="str">
        <f t="shared" si="9"/>
        <v/>
      </c>
      <c r="T23" s="78" t="str">
        <f t="shared" si="10"/>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milscm_2023_010.azn_202310_backup_merge_receiptd_re.karute_no IS 'カルテ番号等';</v>
      </c>
    </row>
    <row r="24" spans="1:45" s="25" customFormat="1">
      <c r="A24" s="4"/>
      <c r="B24" s="21">
        <f t="shared" si="2"/>
        <v>12</v>
      </c>
      <c r="C24" s="13" t="s">
        <v>1243</v>
      </c>
      <c r="D24" s="13" t="s">
        <v>1244</v>
      </c>
      <c r="E24" s="7"/>
      <c r="F24" s="7" t="s">
        <v>868</v>
      </c>
      <c r="G24" s="7" t="str">
        <f t="shared" si="5"/>
        <v>text</v>
      </c>
      <c r="H24" s="58"/>
      <c r="I24" s="23"/>
      <c r="J24" s="24"/>
      <c r="M24" s="4"/>
      <c r="N24" s="78"/>
      <c r="O24" s="78"/>
      <c r="P24" s="78" t="str">
        <f t="shared" si="6"/>
        <v>,receipt_sokatsu_kubun</v>
      </c>
      <c r="Q24" s="78" t="str">
        <f t="shared" si="7"/>
        <v>TEXT</v>
      </c>
      <c r="R24" s="78" t="str">
        <f t="shared" si="8"/>
        <v/>
      </c>
      <c r="S24" s="78" t="str">
        <f t="shared" si="9"/>
        <v/>
      </c>
      <c r="T24" s="78" t="str">
        <f t="shared" si="10"/>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milscm_2023_010.azn_202310_backup_merge_receiptd_re.receipt_sokatsu_kubun IS 'レセプト総括区分';</v>
      </c>
    </row>
    <row r="25" spans="1:45" s="25" customFormat="1">
      <c r="A25" s="4"/>
      <c r="B25" s="21">
        <f t="shared" si="2"/>
        <v>13</v>
      </c>
      <c r="C25" s="13" t="s">
        <v>985</v>
      </c>
      <c r="D25" s="13" t="s">
        <v>986</v>
      </c>
      <c r="E25" s="7"/>
      <c r="F25" s="7" t="s">
        <v>868</v>
      </c>
      <c r="G25" s="7" t="str">
        <f t="shared" si="5"/>
        <v>text</v>
      </c>
      <c r="H25" s="58"/>
      <c r="I25" s="23"/>
      <c r="J25" s="24"/>
      <c r="M25" s="4"/>
      <c r="N25" s="78"/>
      <c r="O25" s="78"/>
      <c r="P25" s="78" t="str">
        <f t="shared" si="6"/>
        <v>,receipt_type</v>
      </c>
      <c r="Q25" s="78" t="str">
        <f t="shared" si="7"/>
        <v>TEXT</v>
      </c>
      <c r="R25" s="78" t="str">
        <f t="shared" si="8"/>
        <v/>
      </c>
      <c r="S25" s="78" t="str">
        <f t="shared" si="9"/>
        <v/>
      </c>
      <c r="T25" s="78" t="str">
        <f t="shared" si="10"/>
        <v>-- レセプト種別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milscm_2023_010.azn_202310_backup_merge_receiptd_re.receipt_type IS 'レセプト種別';</v>
      </c>
    </row>
    <row r="26" spans="1:45" s="25" customFormat="1">
      <c r="A26" s="4"/>
      <c r="B26" s="21">
        <f t="shared" si="2"/>
        <v>14</v>
      </c>
      <c r="C26" s="13" t="s">
        <v>987</v>
      </c>
      <c r="D26" s="13" t="s">
        <v>988</v>
      </c>
      <c r="E26" s="7"/>
      <c r="F26" s="7" t="s">
        <v>868</v>
      </c>
      <c r="G26" s="7" t="str">
        <f t="shared" si="5"/>
        <v>text</v>
      </c>
      <c r="H26" s="58"/>
      <c r="I26" s="23"/>
      <c r="J26" s="24" t="s">
        <v>1108</v>
      </c>
      <c r="M26" s="4"/>
      <c r="N26" s="78"/>
      <c r="O26" s="78"/>
      <c r="P26" s="78" t="str">
        <f t="shared" si="6"/>
        <v>,name</v>
      </c>
      <c r="Q26" s="78" t="str">
        <f t="shared" si="7"/>
        <v>TEXT</v>
      </c>
      <c r="R26" s="78" t="str">
        <f t="shared" si="8"/>
        <v/>
      </c>
      <c r="S26" s="78" t="str">
        <f t="shared" si="9"/>
        <v/>
      </c>
      <c r="T26" s="78" t="str">
        <f t="shared" si="10"/>
        <v>-- 氏名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milscm_2023_010.azn_202310_backup_merge_receiptd_re.name IS '氏名';</v>
      </c>
    </row>
    <row r="27" spans="1:45" s="25" customFormat="1">
      <c r="A27" s="4"/>
      <c r="B27" s="21">
        <f t="shared" si="2"/>
        <v>15</v>
      </c>
      <c r="C27" s="13" t="s">
        <v>989</v>
      </c>
      <c r="D27" s="13" t="s">
        <v>990</v>
      </c>
      <c r="E27" s="7"/>
      <c r="F27" s="7" t="s">
        <v>868</v>
      </c>
      <c r="G27" s="7" t="str">
        <f t="shared" si="5"/>
        <v>text</v>
      </c>
      <c r="H27" s="58"/>
      <c r="I27" s="23"/>
      <c r="J27" s="24" t="s">
        <v>1109</v>
      </c>
      <c r="M27" s="4"/>
      <c r="N27" s="78"/>
      <c r="O27" s="78"/>
      <c r="P27" s="78" t="str">
        <f t="shared" si="6"/>
        <v>,sex_kubun</v>
      </c>
      <c r="Q27" s="78" t="str">
        <f t="shared" si="7"/>
        <v>TEXT</v>
      </c>
      <c r="R27" s="78" t="str">
        <f t="shared" si="8"/>
        <v/>
      </c>
      <c r="S27" s="78" t="str">
        <f t="shared" si="9"/>
        <v/>
      </c>
      <c r="T27" s="78" t="str">
        <f t="shared" si="10"/>
        <v>-- 男女区分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milscm_2023_010.azn_202310_backup_merge_receiptd_re.sex_kubun IS '男女区分';</v>
      </c>
    </row>
    <row r="28" spans="1:45" s="25" customFormat="1" ht="93.75">
      <c r="A28" s="4"/>
      <c r="B28" s="21">
        <f t="shared" si="2"/>
        <v>16</v>
      </c>
      <c r="C28" s="13" t="s">
        <v>991</v>
      </c>
      <c r="D28" s="13" t="s">
        <v>323</v>
      </c>
      <c r="E28" s="7"/>
      <c r="F28" s="7" t="s">
        <v>868</v>
      </c>
      <c r="G28" s="7" t="str">
        <f t="shared" si="5"/>
        <v>text</v>
      </c>
      <c r="H28" s="58"/>
      <c r="I28" s="23"/>
      <c r="J28" s="24" t="s">
        <v>1240</v>
      </c>
      <c r="M28" s="4"/>
      <c r="N28" s="78"/>
      <c r="O28" s="78"/>
      <c r="P28" s="78" t="str">
        <f t="shared" si="6"/>
        <v>,birthday</v>
      </c>
      <c r="Q28" s="78" t="str">
        <f t="shared" si="7"/>
        <v>TEXT</v>
      </c>
      <c r="R28" s="78" t="str">
        <f t="shared" si="8"/>
        <v/>
      </c>
      <c r="S28" s="78" t="str">
        <f t="shared" si="9"/>
        <v/>
      </c>
      <c r="T28" s="78" t="str">
        <f t="shared" si="10"/>
        <v>-- 生年月日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milscm_2023_010.azn_202310_backup_merge_receiptd_re.birthday IS '生年月日';</v>
      </c>
    </row>
    <row r="29" spans="1:45" s="25" customFormat="1">
      <c r="A29" s="4"/>
      <c r="B29" s="21">
        <f t="shared" si="2"/>
        <v>17</v>
      </c>
      <c r="C29" s="13" t="s">
        <v>992</v>
      </c>
      <c r="D29" s="13" t="s">
        <v>993</v>
      </c>
      <c r="E29" s="7"/>
      <c r="F29" s="7" t="s">
        <v>205</v>
      </c>
      <c r="G29" s="7" t="str">
        <f t="shared" si="5"/>
        <v>integer</v>
      </c>
      <c r="H29" s="58"/>
      <c r="I29" s="23"/>
      <c r="J29" s="24"/>
      <c r="M29" s="4"/>
      <c r="N29" s="78"/>
      <c r="O29" s="78"/>
      <c r="P29" s="78" t="str">
        <f t="shared" si="6"/>
        <v>,kyufu_wariai</v>
      </c>
      <c r="Q29" s="78" t="str">
        <f t="shared" si="7"/>
        <v>INTEGER</v>
      </c>
      <c r="R29" s="78" t="str">
        <f t="shared" si="8"/>
        <v/>
      </c>
      <c r="S29" s="78" t="str">
        <f t="shared" si="9"/>
        <v/>
      </c>
      <c r="T29" s="78" t="str">
        <f t="shared" si="10"/>
        <v>-- 給付割合</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milscm_2023_010.azn_202310_backup_merge_receiptd_re.kyufu_wariai IS '給付割合';</v>
      </c>
    </row>
    <row r="30" spans="1:45" s="25" customFormat="1" ht="75">
      <c r="A30" s="4"/>
      <c r="B30" s="21">
        <f t="shared" si="2"/>
        <v>18</v>
      </c>
      <c r="C30" s="13" t="s">
        <v>871</v>
      </c>
      <c r="D30" s="13" t="s">
        <v>156</v>
      </c>
      <c r="E30" s="7"/>
      <c r="F30" s="7" t="s">
        <v>868</v>
      </c>
      <c r="G30" s="7" t="str">
        <f t="shared" si="5"/>
        <v>text</v>
      </c>
      <c r="H30" s="58"/>
      <c r="I30" s="23"/>
      <c r="J30" s="24" t="s">
        <v>1111</v>
      </c>
      <c r="M30" s="4"/>
      <c r="N30" s="78"/>
      <c r="O30" s="78"/>
      <c r="P30" s="78" t="str">
        <f t="shared" si="6"/>
        <v>,nyuin_ymd</v>
      </c>
      <c r="Q30" s="78" t="str">
        <f t="shared" si="7"/>
        <v>TEXT</v>
      </c>
      <c r="R30" s="78" t="str">
        <f t="shared" si="8"/>
        <v/>
      </c>
      <c r="S30" s="78" t="str">
        <f t="shared" si="9"/>
        <v/>
      </c>
      <c r="T30" s="78" t="str">
        <f t="shared" si="10"/>
        <v>-- 入院年月日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milscm_2023_010.azn_202310_backup_merge_receiptd_re.nyuin_ymd IS '入院年月日';</v>
      </c>
    </row>
    <row r="31" spans="1:45" s="25" customFormat="1">
      <c r="A31" s="4"/>
      <c r="B31" s="21">
        <f t="shared" si="2"/>
        <v>19</v>
      </c>
      <c r="C31" s="13" t="s">
        <v>994</v>
      </c>
      <c r="D31" s="13" t="s">
        <v>995</v>
      </c>
      <c r="E31" s="7"/>
      <c r="F31" s="7" t="s">
        <v>868</v>
      </c>
      <c r="G31" s="7" t="str">
        <f t="shared" si="5"/>
        <v>text</v>
      </c>
      <c r="H31" s="58"/>
      <c r="I31" s="23"/>
      <c r="J31" s="24" t="s">
        <v>1112</v>
      </c>
      <c r="M31" s="4"/>
      <c r="N31" s="78"/>
      <c r="O31" s="78"/>
      <c r="P31" s="78" t="str">
        <f t="shared" si="6"/>
        <v>,ward_kubun1</v>
      </c>
      <c r="Q31" s="78" t="str">
        <f t="shared" si="7"/>
        <v>TEXT</v>
      </c>
      <c r="R31" s="78" t="str">
        <f t="shared" si="8"/>
        <v/>
      </c>
      <c r="S31" s="78" t="str">
        <f t="shared" si="9"/>
        <v/>
      </c>
      <c r="T31" s="78" t="str">
        <f t="shared" si="10"/>
        <v>-- 病棟区分1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milscm_2023_010.azn_202310_backup_merge_receiptd_re.ward_kubun1 IS '病棟区分1';</v>
      </c>
    </row>
    <row r="32" spans="1:45" s="25" customFormat="1">
      <c r="A32" s="4"/>
      <c r="B32" s="21">
        <f t="shared" si="2"/>
        <v>20</v>
      </c>
      <c r="C32" s="13" t="s">
        <v>996</v>
      </c>
      <c r="D32" s="13" t="s">
        <v>997</v>
      </c>
      <c r="E32" s="7"/>
      <c r="F32" s="7" t="s">
        <v>868</v>
      </c>
      <c r="G32" s="7" t="str">
        <f t="shared" si="5"/>
        <v>text</v>
      </c>
      <c r="H32" s="58"/>
      <c r="I32" s="23"/>
      <c r="J32" s="24"/>
      <c r="M32" s="4"/>
      <c r="N32" s="78"/>
      <c r="O32" s="78"/>
      <c r="P32" s="78" t="str">
        <f t="shared" si="6"/>
        <v>,ward_kubun2</v>
      </c>
      <c r="Q32" s="78" t="str">
        <f t="shared" si="7"/>
        <v>TEXT</v>
      </c>
      <c r="R32" s="78" t="str">
        <f t="shared" si="8"/>
        <v/>
      </c>
      <c r="S32" s="78" t="str">
        <f t="shared" si="9"/>
        <v/>
      </c>
      <c r="T32" s="78" t="str">
        <f t="shared" si="10"/>
        <v>-- 病棟区分2</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milscm_2023_010.azn_202310_backup_merge_receiptd_re.ward_kubun2 IS '病棟区分2';</v>
      </c>
    </row>
    <row r="33" spans="1:45" s="25" customFormat="1">
      <c r="A33" s="4"/>
      <c r="B33" s="21">
        <f t="shared" si="2"/>
        <v>21</v>
      </c>
      <c r="C33" s="13" t="s">
        <v>998</v>
      </c>
      <c r="D33" s="13" t="s">
        <v>999</v>
      </c>
      <c r="E33" s="7"/>
      <c r="F33" s="7" t="s">
        <v>868</v>
      </c>
      <c r="G33" s="7" t="str">
        <f t="shared" si="5"/>
        <v>text</v>
      </c>
      <c r="H33" s="58"/>
      <c r="I33" s="23"/>
      <c r="J33" s="24"/>
      <c r="M33" s="4"/>
      <c r="N33" s="78"/>
      <c r="O33" s="78"/>
      <c r="P33" s="78" t="str">
        <f t="shared" si="6"/>
        <v>,ward_kubun3</v>
      </c>
      <c r="Q33" s="78" t="str">
        <f t="shared" si="7"/>
        <v>TEXT</v>
      </c>
      <c r="R33" s="78" t="str">
        <f t="shared" si="8"/>
        <v/>
      </c>
      <c r="S33" s="78" t="str">
        <f t="shared" si="9"/>
        <v/>
      </c>
      <c r="T33" s="78" t="str">
        <f t="shared" si="10"/>
        <v>-- 病棟区分3</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milscm_2023_010.azn_202310_backup_merge_receiptd_re.ward_kubun3 IS '病棟区分3';</v>
      </c>
    </row>
    <row r="34" spans="1:45" s="25" customFormat="1">
      <c r="A34" s="4"/>
      <c r="B34" s="21">
        <f t="shared" si="2"/>
        <v>22</v>
      </c>
      <c r="C34" s="13" t="s">
        <v>1000</v>
      </c>
      <c r="D34" s="13" t="s">
        <v>1001</v>
      </c>
      <c r="E34" s="7"/>
      <c r="F34" s="7" t="s">
        <v>868</v>
      </c>
      <c r="G34" s="7" t="str">
        <f t="shared" si="5"/>
        <v>text</v>
      </c>
      <c r="H34" s="58"/>
      <c r="I34" s="23"/>
      <c r="J34" s="24"/>
      <c r="M34" s="4"/>
      <c r="N34" s="78"/>
      <c r="O34" s="78"/>
      <c r="P34" s="78" t="str">
        <f t="shared" si="6"/>
        <v>,ward_kubun4</v>
      </c>
      <c r="Q34" s="78" t="str">
        <f t="shared" si="7"/>
        <v>TEXT</v>
      </c>
      <c r="R34" s="78" t="str">
        <f t="shared" si="8"/>
        <v/>
      </c>
      <c r="S34" s="78" t="str">
        <f t="shared" si="9"/>
        <v/>
      </c>
      <c r="T34" s="78" t="str">
        <f t="shared" si="10"/>
        <v>-- 病棟区分4</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milscm_2023_010.azn_202310_backup_merge_receiptd_re.ward_kubun4 IS '病棟区分4';</v>
      </c>
    </row>
    <row r="35" spans="1:45" s="25" customFormat="1" ht="31.5">
      <c r="A35" s="4"/>
      <c r="B35" s="21">
        <f t="shared" si="2"/>
        <v>23</v>
      </c>
      <c r="C35" s="13" t="s">
        <v>1002</v>
      </c>
      <c r="D35" s="13" t="s">
        <v>1003</v>
      </c>
      <c r="E35" s="7"/>
      <c r="F35" s="7" t="s">
        <v>868</v>
      </c>
      <c r="G35" s="7" t="str">
        <f t="shared" si="5"/>
        <v>text</v>
      </c>
      <c r="H35" s="58"/>
      <c r="I35" s="23"/>
      <c r="J35" s="24"/>
      <c r="M35" s="4"/>
      <c r="N35" s="78"/>
      <c r="O35" s="78"/>
      <c r="P35" s="78" t="str">
        <f t="shared" si="6"/>
        <v>,ichibu_futankin_kubun</v>
      </c>
      <c r="Q35" s="78" t="str">
        <f t="shared" si="7"/>
        <v>TEXT</v>
      </c>
      <c r="R35" s="78" t="str">
        <f t="shared" si="8"/>
        <v/>
      </c>
      <c r="S35" s="78" t="str">
        <f t="shared" si="9"/>
        <v/>
      </c>
      <c r="T35" s="78" t="str">
        <f t="shared" si="10"/>
        <v>-- 一部負担金・食事療養費・生活療養費標準負担額区分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milscm_2023_010.azn_202310_backup_merge_receiptd_re.ichibu_futankin_kubun IS '一部負担金・食事療養費・生活療養費標準負担額区分';</v>
      </c>
    </row>
    <row r="36" spans="1:45" s="25" customFormat="1">
      <c r="A36" s="4"/>
      <c r="B36" s="21">
        <f t="shared" si="2"/>
        <v>24</v>
      </c>
      <c r="C36" s="13" t="s">
        <v>1004</v>
      </c>
      <c r="D36" s="13" t="s">
        <v>1005</v>
      </c>
      <c r="E36" s="7"/>
      <c r="F36" s="7" t="s">
        <v>868</v>
      </c>
      <c r="G36" s="7" t="str">
        <f t="shared" si="5"/>
        <v>text</v>
      </c>
      <c r="H36" s="58"/>
      <c r="I36" s="23"/>
      <c r="J36" s="24" t="s">
        <v>1113</v>
      </c>
      <c r="M36" s="4"/>
      <c r="N36" s="78"/>
      <c r="O36" s="78"/>
      <c r="P36" s="78" t="str">
        <f t="shared" si="6"/>
        <v>,receipt_tokki_code1</v>
      </c>
      <c r="Q36" s="78" t="str">
        <f t="shared" si="7"/>
        <v>TEXT</v>
      </c>
      <c r="R36" s="78" t="str">
        <f t="shared" si="8"/>
        <v/>
      </c>
      <c r="S36" s="78" t="str">
        <f t="shared" si="9"/>
        <v/>
      </c>
      <c r="T36" s="78" t="str">
        <f t="shared" si="10"/>
        <v>-- レセプト特記事項1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milscm_2023_010.azn_202310_backup_merge_receiptd_re.receipt_tokki_code1 IS 'レセプト特記事項1';</v>
      </c>
    </row>
    <row r="37" spans="1:45" s="25" customFormat="1">
      <c r="A37" s="4"/>
      <c r="B37" s="21">
        <f t="shared" si="2"/>
        <v>25</v>
      </c>
      <c r="C37" s="13" t="s">
        <v>1006</v>
      </c>
      <c r="D37" s="13" t="s">
        <v>1007</v>
      </c>
      <c r="E37" s="7"/>
      <c r="F37" s="7" t="s">
        <v>868</v>
      </c>
      <c r="G37" s="7" t="str">
        <f t="shared" si="5"/>
        <v>text</v>
      </c>
      <c r="H37" s="58"/>
      <c r="I37" s="23"/>
      <c r="J37" s="24"/>
      <c r="M37" s="4"/>
      <c r="N37" s="78"/>
      <c r="O37" s="78"/>
      <c r="P37" s="78" t="str">
        <f t="shared" si="6"/>
        <v>,receipt_tokki_code2</v>
      </c>
      <c r="Q37" s="78" t="str">
        <f t="shared" si="7"/>
        <v>TEXT</v>
      </c>
      <c r="R37" s="78" t="str">
        <f t="shared" si="8"/>
        <v/>
      </c>
      <c r="S37" s="78" t="str">
        <f t="shared" si="9"/>
        <v/>
      </c>
      <c r="T37" s="78" t="str">
        <f t="shared" si="10"/>
        <v>-- レセプト特記事項2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milscm_2023_010.azn_202310_backup_merge_receiptd_re.receipt_tokki_code2 IS 'レセプト特記事項2';</v>
      </c>
    </row>
    <row r="38" spans="1:45" s="25" customFormat="1">
      <c r="A38" s="4"/>
      <c r="B38" s="21">
        <f t="shared" si="2"/>
        <v>26</v>
      </c>
      <c r="C38" s="13" t="s">
        <v>1008</v>
      </c>
      <c r="D38" s="13" t="s">
        <v>1009</v>
      </c>
      <c r="E38" s="7"/>
      <c r="F38" s="7" t="s">
        <v>868</v>
      </c>
      <c r="G38" s="7" t="str">
        <f t="shared" si="5"/>
        <v>text</v>
      </c>
      <c r="H38" s="58"/>
      <c r="I38" s="23"/>
      <c r="J38" s="24"/>
      <c r="M38" s="4"/>
      <c r="N38" s="78"/>
      <c r="O38" s="78"/>
      <c r="P38" s="78" t="str">
        <f t="shared" si="6"/>
        <v>,receipt_tokki_code3</v>
      </c>
      <c r="Q38" s="78" t="str">
        <f t="shared" si="7"/>
        <v>TEXT</v>
      </c>
      <c r="R38" s="78" t="str">
        <f t="shared" si="8"/>
        <v/>
      </c>
      <c r="S38" s="78" t="str">
        <f t="shared" si="9"/>
        <v/>
      </c>
      <c r="T38" s="78" t="str">
        <f t="shared" si="10"/>
        <v>-- レセプト特記事項3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milscm_2023_010.azn_202310_backup_merge_receiptd_re.receipt_tokki_code3 IS 'レセプト特記事項3';</v>
      </c>
    </row>
    <row r="39" spans="1:45" s="25" customFormat="1">
      <c r="A39" s="4"/>
      <c r="B39" s="21">
        <f t="shared" si="2"/>
        <v>27</v>
      </c>
      <c r="C39" s="13" t="s">
        <v>1010</v>
      </c>
      <c r="D39" s="13" t="s">
        <v>1011</v>
      </c>
      <c r="E39" s="7"/>
      <c r="F39" s="7" t="s">
        <v>868</v>
      </c>
      <c r="G39" s="7" t="str">
        <f t="shared" si="5"/>
        <v>text</v>
      </c>
      <c r="H39" s="58"/>
      <c r="I39" s="23"/>
      <c r="J39" s="24"/>
      <c r="M39" s="4"/>
      <c r="N39" s="78"/>
      <c r="O39" s="78"/>
      <c r="P39" s="78" t="str">
        <f t="shared" si="6"/>
        <v>,receipt_tokki_code4</v>
      </c>
      <c r="Q39" s="78" t="str">
        <f t="shared" si="7"/>
        <v>TEXT</v>
      </c>
      <c r="R39" s="78" t="str">
        <f t="shared" si="8"/>
        <v/>
      </c>
      <c r="S39" s="78" t="str">
        <f t="shared" si="9"/>
        <v/>
      </c>
      <c r="T39" s="78" t="str">
        <f t="shared" si="10"/>
        <v>-- レセプト特記事項4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milscm_2023_010.azn_202310_backup_merge_receiptd_re.receipt_tokki_code4 IS 'レセプト特記事項4';</v>
      </c>
    </row>
    <row r="40" spans="1:45" s="25" customFormat="1">
      <c r="A40" s="4"/>
      <c r="B40" s="21">
        <f t="shared" si="2"/>
        <v>28</v>
      </c>
      <c r="C40" s="13" t="s">
        <v>1012</v>
      </c>
      <c r="D40" s="13" t="s">
        <v>1013</v>
      </c>
      <c r="E40" s="7"/>
      <c r="F40" s="7" t="s">
        <v>868</v>
      </c>
      <c r="G40" s="7" t="str">
        <f t="shared" si="5"/>
        <v>text</v>
      </c>
      <c r="H40" s="58"/>
      <c r="I40" s="23"/>
      <c r="J40" s="24"/>
      <c r="M40" s="4"/>
      <c r="N40" s="78"/>
      <c r="O40" s="78"/>
      <c r="P40" s="78" t="str">
        <f t="shared" si="6"/>
        <v>,receipt_tokki_code5</v>
      </c>
      <c r="Q40" s="78" t="str">
        <f t="shared" si="7"/>
        <v>TEXT</v>
      </c>
      <c r="R40" s="78" t="str">
        <f t="shared" si="8"/>
        <v/>
      </c>
      <c r="S40" s="78" t="str">
        <f t="shared" si="9"/>
        <v/>
      </c>
      <c r="T40" s="78" t="str">
        <f t="shared" si="10"/>
        <v>-- レセプト特記事項5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milscm_2023_010.azn_202310_backup_merge_receiptd_re.receipt_tokki_code5 IS 'レセプト特記事項5';</v>
      </c>
    </row>
    <row r="41" spans="1:45" s="25" customFormat="1">
      <c r="A41" s="4"/>
      <c r="B41" s="21">
        <f t="shared" si="2"/>
        <v>29</v>
      </c>
      <c r="C41" s="13" t="s">
        <v>967</v>
      </c>
      <c r="D41" s="13" t="s">
        <v>968</v>
      </c>
      <c r="E41" s="7"/>
      <c r="F41" s="7" t="s">
        <v>868</v>
      </c>
      <c r="G41" s="7" t="str">
        <f t="shared" si="5"/>
        <v>text</v>
      </c>
      <c r="H41" s="58"/>
      <c r="I41" s="23"/>
      <c r="J41" s="24"/>
      <c r="M41" s="4"/>
      <c r="N41" s="78"/>
      <c r="O41" s="78"/>
      <c r="P41" s="78" t="str">
        <f t="shared" si="6"/>
        <v>,reserve1</v>
      </c>
      <c r="Q41" s="78" t="str">
        <f t="shared" si="7"/>
        <v>TEXT</v>
      </c>
      <c r="R41" s="78" t="str">
        <f t="shared" si="8"/>
        <v/>
      </c>
      <c r="S41" s="78" t="str">
        <f t="shared" si="9"/>
        <v/>
      </c>
      <c r="T41" s="78" t="str">
        <f t="shared" si="10"/>
        <v>-- 予備1</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milscm_2023_010.azn_202310_backup_merge_receiptd_re.reserve1 IS '予備1';</v>
      </c>
    </row>
    <row r="42" spans="1:45" s="25" customFormat="1">
      <c r="A42" s="4"/>
      <c r="B42" s="21">
        <f t="shared" si="2"/>
        <v>30</v>
      </c>
      <c r="C42" s="13" t="s">
        <v>1016</v>
      </c>
      <c r="D42" s="13" t="s">
        <v>1017</v>
      </c>
      <c r="E42" s="7"/>
      <c r="F42" s="7" t="s">
        <v>205</v>
      </c>
      <c r="G42" s="7" t="str">
        <f t="shared" si="5"/>
        <v>integer</v>
      </c>
      <c r="H42" s="58"/>
      <c r="I42" s="23"/>
      <c r="J42" s="24"/>
      <c r="M42" s="4"/>
      <c r="N42" s="78"/>
      <c r="O42" s="78"/>
      <c r="P42" s="78" t="str">
        <f t="shared" si="6"/>
        <v>,waribiki_tensu</v>
      </c>
      <c r="Q42" s="78" t="str">
        <f t="shared" si="7"/>
        <v>INTEGER</v>
      </c>
      <c r="R42" s="78" t="str">
        <f t="shared" si="8"/>
        <v/>
      </c>
      <c r="S42" s="78" t="str">
        <f t="shared" si="9"/>
        <v/>
      </c>
      <c r="T42" s="78" t="str">
        <f t="shared" si="10"/>
        <v>-- 割引点数単価</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milscm_2023_010.azn_202310_backup_merge_receiptd_re.waribiki_tensu IS '割引点数単価';</v>
      </c>
    </row>
    <row r="43" spans="1:45" s="25" customFormat="1">
      <c r="A43" s="4"/>
      <c r="B43" s="21">
        <f t="shared" si="2"/>
        <v>31</v>
      </c>
      <c r="C43" s="13" t="s">
        <v>1018</v>
      </c>
      <c r="D43" s="13" t="s">
        <v>1019</v>
      </c>
      <c r="E43" s="7"/>
      <c r="F43" s="7" t="s">
        <v>868</v>
      </c>
      <c r="G43" s="7" t="str">
        <f t="shared" si="5"/>
        <v>text</v>
      </c>
      <c r="H43" s="58"/>
      <c r="I43" s="23"/>
      <c r="J43" s="24"/>
      <c r="M43" s="4"/>
      <c r="N43" s="78"/>
      <c r="O43" s="78"/>
      <c r="P43" s="78" t="str">
        <f t="shared" si="6"/>
        <v>,reserve2</v>
      </c>
      <c r="Q43" s="78" t="str">
        <f t="shared" si="7"/>
        <v>TEXT</v>
      </c>
      <c r="R43" s="78" t="str">
        <f t="shared" si="8"/>
        <v/>
      </c>
      <c r="S43" s="78" t="str">
        <f t="shared" si="9"/>
        <v/>
      </c>
      <c r="T43" s="78" t="str">
        <f t="shared" si="10"/>
        <v>-- 予備2</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milscm_2023_010.azn_202310_backup_merge_receiptd_re.reserve2 IS '予備2';</v>
      </c>
    </row>
    <row r="44" spans="1:45" s="25" customFormat="1">
      <c r="A44" s="4"/>
      <c r="B44" s="21">
        <f t="shared" si="2"/>
        <v>32</v>
      </c>
      <c r="C44" s="13" t="s">
        <v>1020</v>
      </c>
      <c r="D44" s="13" t="s">
        <v>1021</v>
      </c>
      <c r="E44" s="7"/>
      <c r="F44" s="7" t="s">
        <v>868</v>
      </c>
      <c r="G44" s="7" t="str">
        <f t="shared" si="5"/>
        <v>text</v>
      </c>
      <c r="H44" s="58"/>
      <c r="I44" s="23"/>
      <c r="J44" s="24"/>
      <c r="M44" s="4"/>
      <c r="N44" s="78"/>
      <c r="O44" s="78"/>
      <c r="P44" s="78" t="str">
        <f t="shared" si="6"/>
        <v>,reserve3</v>
      </c>
      <c r="Q44" s="78" t="str">
        <f t="shared" si="7"/>
        <v>TEXT</v>
      </c>
      <c r="R44" s="78" t="str">
        <f t="shared" si="8"/>
        <v/>
      </c>
      <c r="S44" s="78" t="str">
        <f t="shared" si="9"/>
        <v/>
      </c>
      <c r="T44" s="78" t="str">
        <f t="shared" si="10"/>
        <v>-- 予備3</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milscm_2023_010.azn_202310_backup_merge_receiptd_re.reserve3 IS '予備3';</v>
      </c>
    </row>
    <row r="45" spans="1:45" s="25" customFormat="1">
      <c r="A45" s="4"/>
      <c r="B45" s="21">
        <f t="shared" si="2"/>
        <v>33</v>
      </c>
      <c r="C45" s="13" t="s">
        <v>1227</v>
      </c>
      <c r="D45" s="13" t="s">
        <v>1228</v>
      </c>
      <c r="E45" s="7"/>
      <c r="F45" s="7" t="s">
        <v>868</v>
      </c>
      <c r="G45" s="7" t="str">
        <f t="shared" si="5"/>
        <v>text</v>
      </c>
      <c r="H45" s="58"/>
      <c r="I45" s="23"/>
      <c r="J45" s="24"/>
      <c r="M45" s="4"/>
      <c r="N45" s="78"/>
      <c r="O45" s="78"/>
      <c r="P45" s="78" t="str">
        <f t="shared" si="6"/>
        <v>,reserve4</v>
      </c>
      <c r="Q45" s="78" t="str">
        <f t="shared" si="7"/>
        <v>TEXT</v>
      </c>
      <c r="R45" s="78" t="str">
        <f t="shared" si="8"/>
        <v/>
      </c>
      <c r="S45" s="78" t="str">
        <f t="shared" si="9"/>
        <v/>
      </c>
      <c r="T45" s="78" t="str">
        <f t="shared" si="10"/>
        <v>-- 予備4</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milscm_2023_010.azn_202310_backup_merge_receiptd_re.reserve4 IS '予備4';</v>
      </c>
    </row>
    <row r="46" spans="1:45" s="25" customFormat="1">
      <c r="A46" s="4"/>
      <c r="B46" s="21">
        <f t="shared" si="2"/>
        <v>34</v>
      </c>
      <c r="C46" s="13" t="s">
        <v>1248</v>
      </c>
      <c r="D46" s="13" t="s">
        <v>1249</v>
      </c>
      <c r="E46" s="7"/>
      <c r="F46" s="7" t="s">
        <v>205</v>
      </c>
      <c r="G46" s="7" t="str">
        <f t="shared" si="5"/>
        <v>integer</v>
      </c>
      <c r="H46" s="58"/>
      <c r="I46" s="23"/>
      <c r="J46" s="24"/>
      <c r="M46" s="4"/>
      <c r="N46" s="78"/>
      <c r="O46" s="78"/>
      <c r="P46" s="78" t="str">
        <f t="shared" si="6"/>
        <v>,meisai_su</v>
      </c>
      <c r="Q46" s="78" t="str">
        <f t="shared" si="7"/>
        <v>INTEGER</v>
      </c>
      <c r="R46" s="78" t="str">
        <f t="shared" si="8"/>
        <v/>
      </c>
      <c r="S46" s="78" t="str">
        <f t="shared" si="9"/>
        <v/>
      </c>
      <c r="T46" s="78" t="str">
        <f t="shared" si="10"/>
        <v>-- 明細情報数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milscm_2023_010.azn_202310_backup_merge_receiptd_re.meisai_su IS '明細情報数';</v>
      </c>
    </row>
    <row r="47" spans="1:45" s="25" customFormat="1">
      <c r="A47" s="4"/>
      <c r="B47" s="21">
        <f t="shared" si="2"/>
        <v>35</v>
      </c>
      <c r="C47" s="13" t="s">
        <v>1022</v>
      </c>
      <c r="D47" s="13" t="s">
        <v>1023</v>
      </c>
      <c r="E47" s="7"/>
      <c r="F47" s="7" t="s">
        <v>868</v>
      </c>
      <c r="G47" s="7" t="str">
        <f t="shared" si="5"/>
        <v>text</v>
      </c>
      <c r="H47" s="58"/>
      <c r="I47" s="23"/>
      <c r="J47" s="24"/>
      <c r="M47" s="4"/>
      <c r="N47" s="78"/>
      <c r="O47" s="78"/>
      <c r="P47" s="78" t="str">
        <f t="shared" si="6"/>
        <v>,kensaku_no</v>
      </c>
      <c r="Q47" s="78" t="str">
        <f t="shared" si="7"/>
        <v>TEXT</v>
      </c>
      <c r="R47" s="78" t="str">
        <f t="shared" si="8"/>
        <v/>
      </c>
      <c r="S47" s="78" t="str">
        <f t="shared" si="9"/>
        <v/>
      </c>
      <c r="T47" s="78" t="str">
        <f t="shared" si="10"/>
        <v>-- 検索番号</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milscm_2023_010.azn_202310_backup_merge_receiptd_re.kensaku_no IS '検索番号';</v>
      </c>
    </row>
    <row r="48" spans="1:45" s="25" customFormat="1" ht="56.25">
      <c r="A48" s="4"/>
      <c r="B48" s="21">
        <f t="shared" si="2"/>
        <v>36</v>
      </c>
      <c r="C48" s="13" t="s">
        <v>1024</v>
      </c>
      <c r="D48" s="13" t="s">
        <v>1025</v>
      </c>
      <c r="E48" s="7"/>
      <c r="F48" s="7" t="s">
        <v>868</v>
      </c>
      <c r="G48" s="7" t="str">
        <f t="shared" si="5"/>
        <v>text</v>
      </c>
      <c r="H48" s="58"/>
      <c r="I48" s="23"/>
      <c r="J48" s="24" t="s">
        <v>976</v>
      </c>
      <c r="M48" s="4"/>
      <c r="N48" s="78"/>
      <c r="O48" s="78"/>
      <c r="P48" s="78" t="str">
        <f t="shared" si="6"/>
        <v>,kiroku_ym</v>
      </c>
      <c r="Q48" s="78" t="str">
        <f t="shared" si="7"/>
        <v>TEXT</v>
      </c>
      <c r="R48" s="78" t="str">
        <f t="shared" si="8"/>
        <v/>
      </c>
      <c r="S48" s="78" t="str">
        <f t="shared" si="9"/>
        <v/>
      </c>
      <c r="T48" s="78" t="str">
        <f t="shared" si="10"/>
        <v>-- 記録条件仕様年月情報</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milscm_2023_010.azn_202310_backup_merge_receiptd_re.kiroku_ym IS '記録条件仕様年月情報';</v>
      </c>
    </row>
    <row r="49" spans="1:45" s="25" customFormat="1">
      <c r="A49" s="4"/>
      <c r="B49" s="21">
        <f t="shared" si="2"/>
        <v>37</v>
      </c>
      <c r="C49" s="13" t="s">
        <v>1026</v>
      </c>
      <c r="D49" s="13" t="s">
        <v>1027</v>
      </c>
      <c r="E49" s="7"/>
      <c r="F49" s="7" t="s">
        <v>868</v>
      </c>
      <c r="G49" s="7" t="str">
        <f t="shared" si="5"/>
        <v>text</v>
      </c>
      <c r="H49" s="58"/>
      <c r="I49" s="23"/>
      <c r="J49" s="24"/>
      <c r="M49" s="4"/>
      <c r="N49" s="78"/>
      <c r="O49" s="78"/>
      <c r="P49" s="78" t="str">
        <f t="shared" si="6"/>
        <v>,seikyu_info</v>
      </c>
      <c r="Q49" s="78" t="str">
        <f t="shared" si="7"/>
        <v>TEXT</v>
      </c>
      <c r="R49" s="78" t="str">
        <f t="shared" si="8"/>
        <v/>
      </c>
      <c r="S49" s="78" t="str">
        <f t="shared" si="9"/>
        <v/>
      </c>
      <c r="T49" s="78" t="str">
        <f t="shared" si="10"/>
        <v>-- 請求情報</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milscm_2023_010.azn_202310_backup_merge_receiptd_re.seikyu_info IS '請求情報';</v>
      </c>
    </row>
    <row r="50" spans="1:45" s="25" customFormat="1">
      <c r="A50" s="4"/>
      <c r="B50" s="21">
        <f t="shared" si="2"/>
        <v>38</v>
      </c>
      <c r="C50" s="13" t="s">
        <v>1028</v>
      </c>
      <c r="D50" s="13" t="s">
        <v>1029</v>
      </c>
      <c r="E50" s="7"/>
      <c r="F50" s="7" t="s">
        <v>868</v>
      </c>
      <c r="G50" s="7" t="str">
        <f t="shared" si="5"/>
        <v>text</v>
      </c>
      <c r="H50" s="58"/>
      <c r="I50" s="23"/>
      <c r="J50" s="24"/>
      <c r="M50" s="4"/>
      <c r="N50" s="78"/>
      <c r="O50" s="78"/>
      <c r="P50" s="78" t="str">
        <f t="shared" si="6"/>
        <v>,department1_name</v>
      </c>
      <c r="Q50" s="78" t="str">
        <f t="shared" si="7"/>
        <v>TEXT</v>
      </c>
      <c r="R50" s="78" t="str">
        <f t="shared" si="8"/>
        <v/>
      </c>
      <c r="S50" s="78" t="str">
        <f t="shared" si="9"/>
        <v/>
      </c>
      <c r="T50" s="78" t="str">
        <f t="shared" si="10"/>
        <v>-- 診療科1診療科名</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milscm_2023_010.azn_202310_backup_merge_receiptd_re.department1_name IS '診療科1診療科名';</v>
      </c>
    </row>
    <row r="51" spans="1:45" s="25" customFormat="1">
      <c r="A51" s="4"/>
      <c r="B51" s="21">
        <f t="shared" si="2"/>
        <v>39</v>
      </c>
      <c r="C51" s="13" t="s">
        <v>1030</v>
      </c>
      <c r="D51" s="13" t="s">
        <v>1031</v>
      </c>
      <c r="E51" s="7"/>
      <c r="F51" s="7" t="s">
        <v>868</v>
      </c>
      <c r="G51" s="7" t="str">
        <f t="shared" si="5"/>
        <v>text</v>
      </c>
      <c r="H51" s="58"/>
      <c r="I51" s="23"/>
      <c r="J51" s="24"/>
      <c r="M51" s="4"/>
      <c r="N51" s="78"/>
      <c r="O51" s="78"/>
      <c r="P51" s="78" t="str">
        <f t="shared" si="6"/>
        <v>,department1_jintai</v>
      </c>
      <c r="Q51" s="78" t="str">
        <f t="shared" si="7"/>
        <v>TEXT</v>
      </c>
      <c r="R51" s="78" t="str">
        <f t="shared" si="8"/>
        <v/>
      </c>
      <c r="S51" s="78" t="str">
        <f t="shared" si="9"/>
        <v/>
      </c>
      <c r="T51" s="78" t="str">
        <f t="shared" si="10"/>
        <v>-- 診療科1人体の部位等</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milscm_2023_010.azn_202310_backup_merge_receiptd_re.department1_jintai IS '診療科1人体の部位等';</v>
      </c>
    </row>
    <row r="52" spans="1:45" s="25" customFormat="1">
      <c r="A52" s="4"/>
      <c r="B52" s="21">
        <f t="shared" si="2"/>
        <v>40</v>
      </c>
      <c r="C52" s="13" t="s">
        <v>1032</v>
      </c>
      <c r="D52" s="13" t="s">
        <v>1033</v>
      </c>
      <c r="E52" s="7"/>
      <c r="F52" s="7" t="s">
        <v>868</v>
      </c>
      <c r="G52" s="7" t="str">
        <f t="shared" si="5"/>
        <v>text</v>
      </c>
      <c r="H52" s="58"/>
      <c r="I52" s="23"/>
      <c r="J52" s="24"/>
      <c r="M52" s="4"/>
      <c r="N52" s="78"/>
      <c r="O52" s="78"/>
      <c r="P52" s="78" t="str">
        <f t="shared" si="6"/>
        <v>,department1_sex</v>
      </c>
      <c r="Q52" s="78" t="str">
        <f t="shared" si="7"/>
        <v>TEXT</v>
      </c>
      <c r="R52" s="78" t="str">
        <f t="shared" si="8"/>
        <v/>
      </c>
      <c r="S52" s="78" t="str">
        <f t="shared" si="9"/>
        <v/>
      </c>
      <c r="T52" s="78" t="str">
        <f t="shared" si="10"/>
        <v>-- 診療科1性別等</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milscm_2023_010.azn_202310_backup_merge_receiptd_re.department1_sex IS '診療科1性別等';</v>
      </c>
    </row>
    <row r="53" spans="1:45" s="25" customFormat="1">
      <c r="A53" s="4"/>
      <c r="B53" s="21">
        <f t="shared" si="2"/>
        <v>41</v>
      </c>
      <c r="C53" s="13" t="s">
        <v>1034</v>
      </c>
      <c r="D53" s="13" t="s">
        <v>1035</v>
      </c>
      <c r="E53" s="7"/>
      <c r="F53" s="7" t="s">
        <v>868</v>
      </c>
      <c r="G53" s="7" t="str">
        <f t="shared" si="5"/>
        <v>text</v>
      </c>
      <c r="H53" s="58"/>
      <c r="I53" s="23"/>
      <c r="J53" s="24"/>
      <c r="M53" s="4"/>
      <c r="N53" s="78"/>
      <c r="O53" s="78"/>
      <c r="P53" s="78" t="str">
        <f t="shared" si="6"/>
        <v>,department1_igaku</v>
      </c>
      <c r="Q53" s="78" t="str">
        <f t="shared" si="7"/>
        <v>TEXT</v>
      </c>
      <c r="R53" s="78" t="str">
        <f t="shared" si="8"/>
        <v/>
      </c>
      <c r="S53" s="78" t="str">
        <f t="shared" si="9"/>
        <v/>
      </c>
      <c r="T53" s="78" t="str">
        <f t="shared" si="10"/>
        <v>-- 診療科1医学的処置</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milscm_2023_010.azn_202310_backup_merge_receiptd_re.department1_igaku IS '診療科1医学的処置';</v>
      </c>
    </row>
    <row r="54" spans="1:45" s="25" customFormat="1">
      <c r="A54" s="4"/>
      <c r="B54" s="21">
        <f t="shared" si="2"/>
        <v>42</v>
      </c>
      <c r="C54" s="13" t="s">
        <v>1036</v>
      </c>
      <c r="D54" s="13" t="s">
        <v>1037</v>
      </c>
      <c r="E54" s="7"/>
      <c r="F54" s="7" t="s">
        <v>868</v>
      </c>
      <c r="G54" s="7" t="str">
        <f t="shared" si="5"/>
        <v>text</v>
      </c>
      <c r="H54" s="58"/>
      <c r="I54" s="23"/>
      <c r="J54" s="24"/>
      <c r="M54" s="4"/>
      <c r="N54" s="78"/>
      <c r="O54" s="78"/>
      <c r="P54" s="78" t="str">
        <f t="shared" si="6"/>
        <v>,department1_shippei</v>
      </c>
      <c r="Q54" s="78" t="str">
        <f t="shared" si="7"/>
        <v>TEXT</v>
      </c>
      <c r="R54" s="78" t="str">
        <f t="shared" si="8"/>
        <v/>
      </c>
      <c r="S54" s="78" t="str">
        <f t="shared" si="9"/>
        <v/>
      </c>
      <c r="T54" s="78" t="str">
        <f t="shared" si="10"/>
        <v>-- 診療科1特定疾病</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milscm_2023_010.azn_202310_backup_merge_receiptd_re.department1_shippei IS '診療科1特定疾病';</v>
      </c>
    </row>
    <row r="55" spans="1:45" s="25" customFormat="1">
      <c r="A55" s="4"/>
      <c r="B55" s="21">
        <f t="shared" si="2"/>
        <v>43</v>
      </c>
      <c r="C55" s="13" t="s">
        <v>1058</v>
      </c>
      <c r="D55" s="13" t="s">
        <v>1059</v>
      </c>
      <c r="E55" s="7"/>
      <c r="F55" s="7" t="s">
        <v>868</v>
      </c>
      <c r="G55" s="7" t="str">
        <f t="shared" si="5"/>
        <v>text</v>
      </c>
      <c r="H55" s="58"/>
      <c r="I55" s="23"/>
      <c r="J55" s="24" t="s">
        <v>1108</v>
      </c>
      <c r="M55" s="4"/>
      <c r="N55" s="78"/>
      <c r="O55" s="78"/>
      <c r="P55" s="78" t="str">
        <f t="shared" si="6"/>
        <v>,kana_name</v>
      </c>
      <c r="Q55" s="78" t="str">
        <f t="shared" si="7"/>
        <v>TEXT</v>
      </c>
      <c r="R55" s="78" t="str">
        <f t="shared" si="8"/>
        <v/>
      </c>
      <c r="S55" s="78" t="str">
        <f t="shared" si="9"/>
        <v/>
      </c>
      <c r="T55" s="78" t="str">
        <f t="shared" si="10"/>
        <v>-- カタカナ（氏名）</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milscm_2023_010.azn_202310_backup_merge_receiptd_re.kana_name IS 'カタカナ（氏名）';</v>
      </c>
    </row>
    <row r="56" spans="1:45" s="25" customFormat="1">
      <c r="A56" s="4"/>
      <c r="B56" s="21">
        <f t="shared" si="2"/>
        <v>44</v>
      </c>
      <c r="C56" s="13" t="s">
        <v>1060</v>
      </c>
      <c r="D56" s="13" t="s">
        <v>1061</v>
      </c>
      <c r="E56" s="7"/>
      <c r="F56" s="7" t="s">
        <v>868</v>
      </c>
      <c r="G56" s="7" t="str">
        <f t="shared" si="5"/>
        <v>text</v>
      </c>
      <c r="H56" s="58"/>
      <c r="I56" s="23"/>
      <c r="J56" s="24" t="s">
        <v>1114</v>
      </c>
      <c r="M56" s="4"/>
      <c r="N56" s="78"/>
      <c r="O56" s="78"/>
      <c r="P56" s="78" t="str">
        <f t="shared" si="6"/>
        <v>,patient_state1</v>
      </c>
      <c r="Q56" s="78" t="str">
        <f t="shared" si="7"/>
        <v>TEXT</v>
      </c>
      <c r="R56" s="78" t="str">
        <f t="shared" si="8"/>
        <v/>
      </c>
      <c r="S56" s="78" t="str">
        <f t="shared" si="9"/>
        <v/>
      </c>
      <c r="T56" s="78" t="str">
        <f t="shared" si="10"/>
        <v>-- 患者の状態1</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milscm_2023_010.azn_202310_backup_merge_receiptd_re.patient_state1 IS '患者の状態1';</v>
      </c>
    </row>
    <row r="57" spans="1:45" s="25" customFormat="1">
      <c r="A57" s="4"/>
      <c r="B57" s="21">
        <f t="shared" si="2"/>
        <v>45</v>
      </c>
      <c r="C57" s="13" t="s">
        <v>1062</v>
      </c>
      <c r="D57" s="13" t="s">
        <v>1063</v>
      </c>
      <c r="E57" s="7"/>
      <c r="F57" s="7" t="s">
        <v>868</v>
      </c>
      <c r="G57" s="7" t="str">
        <f t="shared" si="5"/>
        <v>text</v>
      </c>
      <c r="H57" s="58"/>
      <c r="I57" s="23"/>
      <c r="J57" s="24"/>
      <c r="M57" s="4"/>
      <c r="N57" s="78"/>
      <c r="O57" s="78"/>
      <c r="P57" s="78" t="str">
        <f t="shared" si="6"/>
        <v>,patient_state2</v>
      </c>
      <c r="Q57" s="78" t="str">
        <f t="shared" si="7"/>
        <v>TEXT</v>
      </c>
      <c r="R57" s="78" t="str">
        <f t="shared" si="8"/>
        <v/>
      </c>
      <c r="S57" s="78" t="str">
        <f t="shared" si="9"/>
        <v/>
      </c>
      <c r="T57" s="78" t="str">
        <f t="shared" si="10"/>
        <v>-- 患者の状態2</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milscm_2023_010.azn_202310_backup_merge_receiptd_re.patient_state2 IS '患者の状態2';</v>
      </c>
    </row>
    <row r="58" spans="1:45" s="25" customFormat="1">
      <c r="A58" s="4"/>
      <c r="B58" s="21">
        <f t="shared" si="2"/>
        <v>46</v>
      </c>
      <c r="C58" s="13" t="s">
        <v>1064</v>
      </c>
      <c r="D58" s="13" t="s">
        <v>1065</v>
      </c>
      <c r="E58" s="7"/>
      <c r="F58" s="7" t="s">
        <v>868</v>
      </c>
      <c r="G58" s="7" t="str">
        <f t="shared" si="5"/>
        <v>text</v>
      </c>
      <c r="H58" s="58"/>
      <c r="I58" s="23"/>
      <c r="J58" s="24"/>
      <c r="M58" s="4"/>
      <c r="N58" s="78"/>
      <c r="O58" s="78"/>
      <c r="P58" s="78" t="str">
        <f t="shared" si="6"/>
        <v>,patient_state3</v>
      </c>
      <c r="Q58" s="78" t="str">
        <f t="shared" si="7"/>
        <v>TEXT</v>
      </c>
      <c r="R58" s="78" t="str">
        <f t="shared" si="8"/>
        <v/>
      </c>
      <c r="S58" s="78" t="str">
        <f t="shared" si="9"/>
        <v/>
      </c>
      <c r="T58" s="78" t="str">
        <f t="shared" si="10"/>
        <v>-- 患者の状態3</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milscm_2023_010.azn_202310_backup_merge_receiptd_re.patient_state3 IS '患者の状態3';</v>
      </c>
    </row>
    <row r="59" spans="1:45" s="25" customFormat="1">
      <c r="A59" s="4"/>
      <c r="B59" s="21">
        <f t="shared" si="2"/>
        <v>47</v>
      </c>
      <c r="C59" s="13" t="s">
        <v>1066</v>
      </c>
      <c r="D59" s="13" t="s">
        <v>1067</v>
      </c>
      <c r="E59" s="7"/>
      <c r="F59" s="7" t="s">
        <v>868</v>
      </c>
      <c r="G59" s="7" t="str">
        <f t="shared" si="5"/>
        <v>text</v>
      </c>
      <c r="H59" s="58"/>
      <c r="I59" s="23"/>
      <c r="J59" s="24"/>
      <c r="M59" s="4"/>
      <c r="N59" s="78"/>
      <c r="O59" s="78"/>
      <c r="P59" s="78" t="str">
        <f t="shared" si="6"/>
        <v>,patient_state4</v>
      </c>
      <c r="Q59" s="78" t="str">
        <f t="shared" si="7"/>
        <v>TEXT</v>
      </c>
      <c r="R59" s="78" t="str">
        <f t="shared" si="8"/>
        <v/>
      </c>
      <c r="S59" s="78" t="str">
        <f t="shared" si="9"/>
        <v/>
      </c>
      <c r="T59" s="78" t="str">
        <f t="shared" si="10"/>
        <v>-- 患者の状態4</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milscm_2023_010.azn_202310_backup_merge_receiptd_re.patient_state4 IS '患者の状態4';</v>
      </c>
    </row>
    <row r="60" spans="1:45" s="25" customFormat="1">
      <c r="A60" s="4"/>
      <c r="B60" s="21">
        <f t="shared" si="2"/>
        <v>48</v>
      </c>
      <c r="C60" s="13" t="s">
        <v>1068</v>
      </c>
      <c r="D60" s="13" t="s">
        <v>1069</v>
      </c>
      <c r="E60" s="7"/>
      <c r="F60" s="7" t="s">
        <v>868</v>
      </c>
      <c r="G60" s="7" t="str">
        <f t="shared" si="5"/>
        <v>text</v>
      </c>
      <c r="H60" s="58"/>
      <c r="I60" s="23"/>
      <c r="J60" s="24"/>
      <c r="M60" s="4"/>
      <c r="N60" s="78"/>
      <c r="O60" s="78"/>
      <c r="P60" s="78" t="str">
        <f t="shared" si="6"/>
        <v>,patient_state5</v>
      </c>
      <c r="Q60" s="78" t="str">
        <f t="shared" si="7"/>
        <v>TEXT</v>
      </c>
      <c r="R60" s="78" t="str">
        <f t="shared" si="8"/>
        <v/>
      </c>
      <c r="S60" s="78" t="str">
        <f t="shared" si="9"/>
        <v/>
      </c>
      <c r="T60" s="78" t="str">
        <f t="shared" si="10"/>
        <v>-- 患者の状態5</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milscm_2023_010.azn_202310_backup_merge_receiptd_re.patient_state5 IS '患者の状態5';</v>
      </c>
    </row>
    <row r="61" spans="1:45" s="25" customFormat="1">
      <c r="A61" s="4"/>
      <c r="B61" s="21">
        <f t="shared" si="2"/>
        <v>49</v>
      </c>
      <c r="C61" s="13" t="s">
        <v>1070</v>
      </c>
      <c r="D61" s="13" t="s">
        <v>1071</v>
      </c>
      <c r="E61" s="7"/>
      <c r="F61" s="7" t="s">
        <v>868</v>
      </c>
      <c r="G61" s="7" t="str">
        <f t="shared" si="5"/>
        <v>text</v>
      </c>
      <c r="H61" s="58"/>
      <c r="I61" s="23"/>
      <c r="J61" s="24"/>
      <c r="M61" s="4"/>
      <c r="N61" s="78"/>
      <c r="O61" s="78"/>
      <c r="P61" s="78" t="str">
        <f t="shared" si="6"/>
        <v>,patient_state6</v>
      </c>
      <c r="Q61" s="78" t="str">
        <f t="shared" si="7"/>
        <v>TEXT</v>
      </c>
      <c r="R61" s="78" t="str">
        <f t="shared" si="8"/>
        <v/>
      </c>
      <c r="S61" s="78" t="str">
        <f t="shared" si="9"/>
        <v/>
      </c>
      <c r="T61" s="78" t="str">
        <f t="shared" si="10"/>
        <v>-- 患者の状態6</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milscm_2023_010.azn_202310_backup_merge_receiptd_re.patient_state6 IS '患者の状態6';</v>
      </c>
    </row>
    <row r="62" spans="1:45" s="25" customFormat="1">
      <c r="A62" s="4"/>
      <c r="B62" s="21">
        <f t="shared" si="2"/>
        <v>50</v>
      </c>
      <c r="C62" s="13" t="s">
        <v>1072</v>
      </c>
      <c r="D62" s="13" t="s">
        <v>1073</v>
      </c>
      <c r="E62" s="7"/>
      <c r="F62" s="7" t="s">
        <v>868</v>
      </c>
      <c r="G62" s="7" t="str">
        <f t="shared" si="5"/>
        <v>text</v>
      </c>
      <c r="H62" s="58"/>
      <c r="I62" s="23"/>
      <c r="J62" s="24"/>
      <c r="M62" s="4"/>
      <c r="N62" s="78"/>
      <c r="O62" s="78"/>
      <c r="P62" s="78" t="str">
        <f t="shared" si="6"/>
        <v>,patient_state7</v>
      </c>
      <c r="Q62" s="78" t="str">
        <f t="shared" si="7"/>
        <v>TEXT</v>
      </c>
      <c r="R62" s="78" t="str">
        <f t="shared" si="8"/>
        <v/>
      </c>
      <c r="S62" s="78" t="str">
        <f t="shared" si="9"/>
        <v/>
      </c>
      <c r="T62" s="78" t="str">
        <f t="shared" si="10"/>
        <v>-- 患者の状態7</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milscm_2023_010.azn_202310_backup_merge_receiptd_re.patient_state7 IS '患者の状態7';</v>
      </c>
    </row>
    <row r="63" spans="1:45" s="25" customFormat="1">
      <c r="A63" s="4"/>
      <c r="B63" s="21">
        <f t="shared" si="2"/>
        <v>51</v>
      </c>
      <c r="C63" s="13" t="s">
        <v>1074</v>
      </c>
      <c r="D63" s="13" t="s">
        <v>1075</v>
      </c>
      <c r="E63" s="7"/>
      <c r="F63" s="7" t="s">
        <v>868</v>
      </c>
      <c r="G63" s="7" t="str">
        <f t="shared" si="5"/>
        <v>text</v>
      </c>
      <c r="H63" s="58"/>
      <c r="I63" s="23"/>
      <c r="J63" s="24"/>
      <c r="M63" s="4"/>
      <c r="N63" s="78"/>
      <c r="O63" s="78"/>
      <c r="P63" s="78" t="str">
        <f t="shared" si="6"/>
        <v>,patient_state8</v>
      </c>
      <c r="Q63" s="78" t="str">
        <f t="shared" si="7"/>
        <v>TEXT</v>
      </c>
      <c r="R63" s="78" t="str">
        <f t="shared" si="8"/>
        <v/>
      </c>
      <c r="S63" s="78" t="str">
        <f t="shared" si="9"/>
        <v/>
      </c>
      <c r="T63" s="78" t="str">
        <f t="shared" si="10"/>
        <v>-- 患者の状態8</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milscm_2023_010.azn_202310_backup_merge_receiptd_re.patient_state8 IS '患者の状態8';</v>
      </c>
    </row>
    <row r="64" spans="1:45" s="25" customFormat="1">
      <c r="A64" s="4"/>
      <c r="B64" s="21">
        <f t="shared" si="2"/>
        <v>52</v>
      </c>
      <c r="C64" s="13" t="s">
        <v>1076</v>
      </c>
      <c r="D64" s="13" t="s">
        <v>1077</v>
      </c>
      <c r="E64" s="7"/>
      <c r="F64" s="7" t="s">
        <v>868</v>
      </c>
      <c r="G64" s="7" t="str">
        <f t="shared" si="5"/>
        <v>text</v>
      </c>
      <c r="H64" s="58"/>
      <c r="I64" s="23"/>
      <c r="J64" s="24"/>
      <c r="M64" s="4"/>
      <c r="N64" s="78"/>
      <c r="O64" s="78"/>
      <c r="P64" s="78" t="str">
        <f t="shared" si="6"/>
        <v>,patient_state9</v>
      </c>
      <c r="Q64" s="78" t="str">
        <f t="shared" si="7"/>
        <v>TEXT</v>
      </c>
      <c r="R64" s="78" t="str">
        <f t="shared" si="8"/>
        <v/>
      </c>
      <c r="S64" s="78" t="str">
        <f t="shared" si="9"/>
        <v/>
      </c>
      <c r="T64" s="78" t="str">
        <f t="shared" si="10"/>
        <v>-- 患者の状態9</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milscm_2023_010.azn_202310_backup_merge_receiptd_re.patient_state9 IS '患者の状態9';</v>
      </c>
    </row>
    <row r="65" spans="1:52" s="25" customFormat="1">
      <c r="A65" s="4"/>
      <c r="B65" s="21">
        <f t="shared" si="2"/>
        <v>53</v>
      </c>
      <c r="C65" s="13" t="s">
        <v>1078</v>
      </c>
      <c r="D65" s="13" t="s">
        <v>1079</v>
      </c>
      <c r="E65" s="7"/>
      <c r="F65" s="7" t="s">
        <v>868</v>
      </c>
      <c r="G65" s="7" t="str">
        <f t="shared" si="5"/>
        <v>text</v>
      </c>
      <c r="H65" s="58"/>
      <c r="I65" s="23"/>
      <c r="J65" s="24"/>
      <c r="M65" s="4"/>
      <c r="N65" s="78"/>
      <c r="O65" s="78"/>
      <c r="P65" s="78" t="str">
        <f t="shared" si="6"/>
        <v>,patient_state10</v>
      </c>
      <c r="Q65" s="78" t="str">
        <f t="shared" si="7"/>
        <v>TEXT</v>
      </c>
      <c r="R65" s="78" t="str">
        <f t="shared" si="8"/>
        <v/>
      </c>
      <c r="S65" s="78" t="str">
        <f t="shared" si="9"/>
        <v/>
      </c>
      <c r="T65" s="78" t="str">
        <f t="shared" si="10"/>
        <v>-- 患者の状態10</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milscm_2023_010.azn_202310_backup_merge_receiptd_re.patient_state10 IS '患者の状態10';</v>
      </c>
    </row>
    <row r="66" spans="1:52" s="25" customFormat="1">
      <c r="A66" s="4"/>
      <c r="B66" s="21">
        <f t="shared" si="2"/>
        <v>54</v>
      </c>
      <c r="C66" s="13" t="s">
        <v>1080</v>
      </c>
      <c r="D66" s="13" t="s">
        <v>1081</v>
      </c>
      <c r="E66" s="7"/>
      <c r="F66" s="7" t="s">
        <v>868</v>
      </c>
      <c r="G66" s="7" t="str">
        <f t="shared" si="5"/>
        <v>text</v>
      </c>
      <c r="H66" s="58"/>
      <c r="I66" s="23"/>
      <c r="J66" s="24"/>
      <c r="M66" s="4"/>
      <c r="N66" s="78"/>
      <c r="O66" s="78"/>
      <c r="P66" s="78" t="str">
        <f t="shared" si="6"/>
        <v>,patient_state11</v>
      </c>
      <c r="Q66" s="78" t="str">
        <f t="shared" si="7"/>
        <v>TEXT</v>
      </c>
      <c r="R66" s="78" t="str">
        <f t="shared" si="8"/>
        <v/>
      </c>
      <c r="S66" s="78" t="str">
        <f t="shared" si="9"/>
        <v/>
      </c>
      <c r="T66" s="78" t="str">
        <f t="shared" si="10"/>
        <v>-- 患者の状態11</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milscm_2023_010.azn_202310_backup_merge_receiptd_re.patient_state11 IS '患者の状態11';</v>
      </c>
    </row>
    <row r="67" spans="1:52" s="25" customFormat="1">
      <c r="A67" s="4"/>
      <c r="B67" s="21">
        <f t="shared" si="2"/>
        <v>55</v>
      </c>
      <c r="C67" s="13" t="s">
        <v>1082</v>
      </c>
      <c r="D67" s="13" t="s">
        <v>1083</v>
      </c>
      <c r="E67" s="7"/>
      <c r="F67" s="7" t="s">
        <v>868</v>
      </c>
      <c r="G67" s="7" t="str">
        <f t="shared" si="5"/>
        <v>text</v>
      </c>
      <c r="H67" s="58"/>
      <c r="I67" s="23"/>
      <c r="J67" s="24"/>
      <c r="M67" s="4"/>
      <c r="N67" s="78"/>
      <c r="O67" s="78"/>
      <c r="P67" s="78" t="str">
        <f t="shared" si="6"/>
        <v>,patient_state12</v>
      </c>
      <c r="Q67" s="78" t="str">
        <f t="shared" si="7"/>
        <v>TEXT</v>
      </c>
      <c r="R67" s="78" t="str">
        <f t="shared" si="8"/>
        <v/>
      </c>
      <c r="S67" s="78" t="str">
        <f t="shared" si="9"/>
        <v/>
      </c>
      <c r="T67" s="78" t="str">
        <f t="shared" si="10"/>
        <v>-- 患者の状態12</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milscm_2023_010.azn_202310_backup_merge_receiptd_re.patient_state12 IS '患者の状態12';</v>
      </c>
    </row>
    <row r="68" spans="1:52" s="25" customFormat="1">
      <c r="A68" s="4"/>
      <c r="B68" s="21">
        <f t="shared" si="2"/>
        <v>56</v>
      </c>
      <c r="C68" s="13" t="s">
        <v>1084</v>
      </c>
      <c r="D68" s="13" t="s">
        <v>1085</v>
      </c>
      <c r="E68" s="7"/>
      <c r="F68" s="7" t="s">
        <v>868</v>
      </c>
      <c r="G68" s="7" t="str">
        <f t="shared" si="5"/>
        <v>text</v>
      </c>
      <c r="H68" s="58"/>
      <c r="I68" s="23"/>
      <c r="J68" s="24"/>
      <c r="M68" s="4"/>
      <c r="N68" s="78"/>
      <c r="O68" s="78"/>
      <c r="P68" s="78" t="str">
        <f t="shared" si="6"/>
        <v>,patient_state13</v>
      </c>
      <c r="Q68" s="78" t="str">
        <f t="shared" si="7"/>
        <v>TEXT</v>
      </c>
      <c r="R68" s="78" t="str">
        <f t="shared" si="8"/>
        <v/>
      </c>
      <c r="S68" s="78" t="str">
        <f t="shared" si="9"/>
        <v/>
      </c>
      <c r="T68" s="78" t="str">
        <f t="shared" si="10"/>
        <v>-- 患者の状態13</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milscm_2023_010.azn_202310_backup_merge_receiptd_re.patient_state13 IS '患者の状態13';</v>
      </c>
    </row>
    <row r="69" spans="1:52" s="25" customFormat="1">
      <c r="A69" s="4"/>
      <c r="B69" s="21">
        <f t="shared" si="2"/>
        <v>57</v>
      </c>
      <c r="C69" s="13" t="s">
        <v>1086</v>
      </c>
      <c r="D69" s="13" t="s">
        <v>1087</v>
      </c>
      <c r="E69" s="7"/>
      <c r="F69" s="7" t="s">
        <v>868</v>
      </c>
      <c r="G69" s="7" t="str">
        <f t="shared" si="5"/>
        <v>text</v>
      </c>
      <c r="H69" s="58"/>
      <c r="I69" s="23"/>
      <c r="J69" s="24"/>
      <c r="M69" s="4"/>
      <c r="N69" s="78"/>
      <c r="O69" s="78"/>
      <c r="P69" s="78" t="str">
        <f t="shared" si="6"/>
        <v>,patient_state14</v>
      </c>
      <c r="Q69" s="78" t="str">
        <f t="shared" si="7"/>
        <v>TEXT</v>
      </c>
      <c r="R69" s="78" t="str">
        <f t="shared" si="8"/>
        <v/>
      </c>
      <c r="S69" s="78" t="str">
        <f t="shared" si="9"/>
        <v/>
      </c>
      <c r="T69" s="78" t="str">
        <f t="shared" si="10"/>
        <v>-- 患者の状態14</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milscm_2023_010.azn_202310_backup_merge_receiptd_re.patient_state14 IS '患者の状態14';</v>
      </c>
    </row>
    <row r="70" spans="1:52" s="25" customFormat="1">
      <c r="A70" s="4"/>
      <c r="B70" s="21">
        <f t="shared" si="2"/>
        <v>58</v>
      </c>
      <c r="C70" s="13" t="s">
        <v>1088</v>
      </c>
      <c r="D70" s="13" t="s">
        <v>1089</v>
      </c>
      <c r="E70" s="7"/>
      <c r="F70" s="7" t="s">
        <v>868</v>
      </c>
      <c r="G70" s="7" t="str">
        <f t="shared" si="5"/>
        <v>text</v>
      </c>
      <c r="H70" s="58"/>
      <c r="I70" s="23"/>
      <c r="J70" s="24"/>
      <c r="M70" s="4"/>
      <c r="N70" s="78"/>
      <c r="O70" s="78"/>
      <c r="P70" s="78" t="str">
        <f t="shared" si="6"/>
        <v>,patient_state15</v>
      </c>
      <c r="Q70" s="78" t="str">
        <f t="shared" si="7"/>
        <v>TEXT</v>
      </c>
      <c r="R70" s="78" t="str">
        <f t="shared" si="8"/>
        <v/>
      </c>
      <c r="S70" s="78" t="str">
        <f t="shared" si="9"/>
        <v/>
      </c>
      <c r="T70" s="78" t="str">
        <f t="shared" si="10"/>
        <v>-- 患者の状態15</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milscm_2023_010.azn_202310_backup_merge_receiptd_re.patient_state15 IS '患者の状態15';</v>
      </c>
    </row>
    <row r="71" spans="1:52" s="25" customFormat="1">
      <c r="A71" s="4"/>
      <c r="B71" s="21">
        <f t="shared" si="2"/>
        <v>59</v>
      </c>
      <c r="C71" s="13" t="s">
        <v>1090</v>
      </c>
      <c r="D71" s="13" t="s">
        <v>1091</v>
      </c>
      <c r="E71" s="7"/>
      <c r="F71" s="7" t="s">
        <v>868</v>
      </c>
      <c r="G71" s="7" t="str">
        <f t="shared" si="5"/>
        <v>text</v>
      </c>
      <c r="H71" s="58"/>
      <c r="I71" s="23"/>
      <c r="J71" s="24"/>
      <c r="M71" s="4"/>
      <c r="N71" s="78"/>
      <c r="O71" s="78"/>
      <c r="P71" s="78" t="str">
        <f t="shared" si="6"/>
        <v>,patient_state16</v>
      </c>
      <c r="Q71" s="78" t="str">
        <f t="shared" si="7"/>
        <v>TEXT</v>
      </c>
      <c r="R71" s="78" t="str">
        <f t="shared" si="8"/>
        <v/>
      </c>
      <c r="S71" s="78" t="str">
        <f t="shared" si="9"/>
        <v/>
      </c>
      <c r="T71" s="78" t="str">
        <f t="shared" si="10"/>
        <v>-- 患者の状態16</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milscm_2023_010.azn_202310_backup_merge_receiptd_re.patient_state16 IS '患者の状態16';</v>
      </c>
    </row>
    <row r="72" spans="1:52" s="25" customFormat="1">
      <c r="A72" s="4"/>
      <c r="B72" s="21">
        <f t="shared" si="2"/>
        <v>60</v>
      </c>
      <c r="C72" s="13" t="s">
        <v>1092</v>
      </c>
      <c r="D72" s="13" t="s">
        <v>1093</v>
      </c>
      <c r="E72" s="7"/>
      <c r="F72" s="7" t="s">
        <v>868</v>
      </c>
      <c r="G72" s="7" t="str">
        <f t="shared" si="5"/>
        <v>text</v>
      </c>
      <c r="H72" s="58"/>
      <c r="I72" s="23"/>
      <c r="J72" s="24"/>
      <c r="M72" s="4"/>
      <c r="N72" s="78"/>
      <c r="O72" s="78"/>
      <c r="P72" s="78" t="str">
        <f t="shared" si="6"/>
        <v>,patient_state17</v>
      </c>
      <c r="Q72" s="78" t="str">
        <f t="shared" si="7"/>
        <v>TEXT</v>
      </c>
      <c r="R72" s="78" t="str">
        <f t="shared" si="8"/>
        <v/>
      </c>
      <c r="S72" s="78" t="str">
        <f t="shared" si="9"/>
        <v/>
      </c>
      <c r="T72" s="78" t="str">
        <f t="shared" si="10"/>
        <v>-- 患者の状態17</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milscm_2023_010.azn_202310_backup_merge_receiptd_re.patient_state17 IS '患者の状態17';</v>
      </c>
    </row>
    <row r="73" spans="1:52" s="25" customFormat="1">
      <c r="A73" s="4"/>
      <c r="B73" s="21">
        <f t="shared" si="2"/>
        <v>61</v>
      </c>
      <c r="C73" s="13" t="s">
        <v>1094</v>
      </c>
      <c r="D73" s="13" t="s">
        <v>1095</v>
      </c>
      <c r="E73" s="7"/>
      <c r="F73" s="7" t="s">
        <v>868</v>
      </c>
      <c r="G73" s="7" t="str">
        <f t="shared" si="5"/>
        <v>text</v>
      </c>
      <c r="H73" s="58"/>
      <c r="I73" s="23"/>
      <c r="J73" s="24"/>
      <c r="M73" s="4"/>
      <c r="N73" s="78"/>
      <c r="O73" s="78"/>
      <c r="P73" s="78" t="str">
        <f t="shared" si="6"/>
        <v>,patient_state18</v>
      </c>
      <c r="Q73" s="78" t="str">
        <f t="shared" si="7"/>
        <v>TEXT</v>
      </c>
      <c r="R73" s="78" t="str">
        <f t="shared" si="8"/>
        <v/>
      </c>
      <c r="S73" s="78" t="str">
        <f t="shared" si="9"/>
        <v/>
      </c>
      <c r="T73" s="78" t="str">
        <f t="shared" si="10"/>
        <v>-- 患者の状態18</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milscm_2023_010.azn_202310_backup_merge_receiptd_re.patient_state18 IS '患者の状態18';</v>
      </c>
    </row>
    <row r="74" spans="1:52" s="25" customFormat="1">
      <c r="A74" s="4"/>
      <c r="B74" s="21">
        <f t="shared" si="2"/>
        <v>62</v>
      </c>
      <c r="C74" s="13" t="s">
        <v>1096</v>
      </c>
      <c r="D74" s="13" t="s">
        <v>1097</v>
      </c>
      <c r="E74" s="7"/>
      <c r="F74" s="7" t="s">
        <v>868</v>
      </c>
      <c r="G74" s="7" t="str">
        <f t="shared" si="5"/>
        <v>text</v>
      </c>
      <c r="H74" s="58"/>
      <c r="I74" s="23"/>
      <c r="J74" s="24"/>
      <c r="M74" s="4"/>
      <c r="N74" s="78"/>
      <c r="O74" s="78"/>
      <c r="P74" s="78" t="str">
        <f t="shared" si="6"/>
        <v>,patient_state19</v>
      </c>
      <c r="Q74" s="78" t="str">
        <f t="shared" si="7"/>
        <v>TEXT</v>
      </c>
      <c r="R74" s="78" t="str">
        <f t="shared" si="8"/>
        <v/>
      </c>
      <c r="S74" s="78" t="str">
        <f t="shared" si="9"/>
        <v/>
      </c>
      <c r="T74" s="78" t="str">
        <f t="shared" si="10"/>
        <v>-- 患者の状態19</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milscm_2023_010.azn_202310_backup_merge_receiptd_re.patient_state19 IS '患者の状態19';</v>
      </c>
    </row>
    <row r="75" spans="1:52" s="25" customFormat="1" ht="19.5" thickBot="1">
      <c r="A75" s="4"/>
      <c r="B75" s="27">
        <f>ROW()-12</f>
        <v>63</v>
      </c>
      <c r="C75" s="57" t="s">
        <v>1098</v>
      </c>
      <c r="D75" s="57" t="s">
        <v>1099</v>
      </c>
      <c r="E75" s="56"/>
      <c r="F75" s="56" t="s">
        <v>868</v>
      </c>
      <c r="G75" s="56" t="str">
        <f t="shared" si="3"/>
        <v>text</v>
      </c>
      <c r="H75" s="59"/>
      <c r="I75" s="60"/>
      <c r="J75" s="64"/>
      <c r="N75" s="78"/>
      <c r="O75" s="78"/>
      <c r="P75" s="78" t="str">
        <f t="shared" si="4"/>
        <v>,patient_state20</v>
      </c>
      <c r="Q75" s="78" t="str">
        <f t="shared" si="0"/>
        <v>TEXT</v>
      </c>
      <c r="R75" s="78" t="str">
        <f t="shared" si="1"/>
        <v/>
      </c>
      <c r="S75" s="78" t="str">
        <f t="shared" ref="S75" si="11">IF(I75="○","NOT NULL","")</f>
        <v/>
      </c>
      <c r="T75" s="78" t="str">
        <f t="shared" ref="T75" si="12">"-- "&amp;C75</f>
        <v>-- 患者の状態20</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milscm_2023_010.azn_202310_backup_merge_receiptd_re.patient_state20 IS '患者の状態20';</v>
      </c>
    </row>
    <row r="76" spans="1:52">
      <c r="L76" s="25"/>
      <c r="M76" s="25"/>
      <c r="N76" s="78" t="s">
        <v>142</v>
      </c>
      <c r="O76" s="78"/>
      <c r="P76" s="78"/>
      <c r="Q76" s="78"/>
      <c r="R76" s="78"/>
      <c r="S76" s="78"/>
      <c r="T76" s="78"/>
      <c r="V76" s="25"/>
      <c r="W76" s="25"/>
      <c r="X76" s="25"/>
      <c r="Y76" s="25"/>
      <c r="Z76" s="25"/>
      <c r="AJ76" s="78"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500-000000000000}"/>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ENT_01_C3-08</v>
      </c>
      <c r="E6" s="239"/>
      <c r="F6" s="239"/>
      <c r="G6" s="239"/>
      <c r="H6" s="239"/>
      <c r="I6" s="239"/>
      <c r="J6" s="240"/>
    </row>
    <row r="7" spans="1:45">
      <c r="B7" s="228" t="s">
        <v>115</v>
      </c>
      <c r="C7" s="229"/>
      <c r="D7" s="230" t="s">
        <v>1252</v>
      </c>
      <c r="E7" s="231"/>
      <c r="F7" s="231"/>
      <c r="G7" s="231"/>
      <c r="H7" s="231"/>
      <c r="I7" s="231"/>
      <c r="J7" s="232"/>
    </row>
    <row r="8" spans="1:45">
      <c r="B8" s="228" t="s">
        <v>116</v>
      </c>
      <c r="C8" s="229"/>
      <c r="D8" s="230" t="str">
        <f>エンティティ一覧!AE2&amp;"_"&amp;D5&amp;"_merge_receiptd_bu"</f>
        <v>azn_202310_backup_merge_receiptd_bu</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milscm_2023_010.azn_202310_backup_merge_receiptd_bu;</v>
      </c>
      <c r="O10" s="78"/>
      <c r="P10" s="78"/>
      <c r="Q10" s="78"/>
      <c r="R10" s="78"/>
      <c r="S10" s="78"/>
      <c r="T10" s="78"/>
      <c r="AJ10" s="78" t="str">
        <f>"ALTER TABLE ONLY "&amp;エンティティ一覧!$O$2&amp;"."&amp;D$8</f>
        <v>ALTER TABLE ONLY milscm_2023_010.azn_202310_backup_merge_receiptd_bu</v>
      </c>
      <c r="AS10" s="78" t="str">
        <f>"ALTER TABLE "&amp;エンティティ一覧!$O$2&amp;"."&amp;D$8&amp;" OWNER TO pgmisgrp1;"</f>
        <v>ALTER TABLE milscm_2023_010.azn_202310_backup_merge_receiptd_bu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milscm_2023_010.azn_202310_backup_merge_receiptd_bu</v>
      </c>
      <c r="O11" s="78"/>
      <c r="P11" s="78"/>
      <c r="Q11" s="78"/>
      <c r="R11" s="78"/>
      <c r="S11" s="78"/>
      <c r="T11" s="78"/>
      <c r="AJ11" s="78" t="str">
        <f>"ADD CONSTRAINT "&amp;D$8&amp;"_pkey PRIMARY KEY"</f>
        <v>ADD CONSTRAINT azn_202310_backup_merge_receiptd_bu_pkey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milscm_2023_010.azn_202310_backup_merge_receiptd_bu IS 'バックアップ_DPCレセプト_診断群分類レコード';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milscm_2023_010.azn_202310_backup_merge_receiptd_bu.torikomi_ym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258</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milscm_2023_010.azn_202310_backup_merge_receiptd_bu.mil_karute_id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milscm_2023_010.azn_202310_backup_merge_receiptd_bu.facility_id IS '施設ID';</v>
      </c>
    </row>
    <row r="16" spans="1:45" s="25" customFormat="1">
      <c r="B16" s="21">
        <f t="shared" si="2"/>
        <v>4</v>
      </c>
      <c r="C16" s="6" t="s">
        <v>949</v>
      </c>
      <c r="D16" s="6" t="s">
        <v>950</v>
      </c>
      <c r="E16" s="8" t="s">
        <v>127</v>
      </c>
      <c r="F16" s="7" t="s">
        <v>868</v>
      </c>
      <c r="G16" s="7" t="str">
        <f t="shared" si="3"/>
        <v>text</v>
      </c>
      <c r="H16" s="26"/>
      <c r="I16" s="10" t="s">
        <v>127</v>
      </c>
      <c r="J16" s="53" t="s">
        <v>1100</v>
      </c>
      <c r="M16" s="4"/>
      <c r="N16" s="78"/>
      <c r="O16" s="78"/>
      <c r="P16" s="78" t="str">
        <f t="shared" si="4"/>
        <v>,seikyu_ym</v>
      </c>
      <c r="Q16" s="78" t="str">
        <f t="shared" si="0"/>
        <v>TEXT</v>
      </c>
      <c r="R16" s="78" t="str">
        <f t="shared" si="1"/>
        <v/>
      </c>
      <c r="S16" s="78" t="str">
        <f t="shared" ref="S16:S29" si="5">IF(I16="○","NOT NULL","")</f>
        <v>NOT NULL</v>
      </c>
      <c r="T16" s="78" t="str">
        <f t="shared" ref="T16:T29" si="6">"-- "&amp;C16</f>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milscm_2023_010.azn_202310_backup_merge_receiptd_bu.seikyu_ym IS '請求年月';</v>
      </c>
    </row>
    <row r="17" spans="1:52" s="25" customFormat="1">
      <c r="B17" s="21">
        <f t="shared" si="2"/>
        <v>5</v>
      </c>
      <c r="C17" s="13" t="s">
        <v>869</v>
      </c>
      <c r="D17" s="13" t="s">
        <v>207</v>
      </c>
      <c r="E17" s="7" t="s">
        <v>127</v>
      </c>
      <c r="F17" s="7" t="s">
        <v>868</v>
      </c>
      <c r="G17" s="7" t="str">
        <f t="shared" si="3"/>
        <v>text</v>
      </c>
      <c r="H17" s="58"/>
      <c r="I17" s="23" t="s">
        <v>127</v>
      </c>
      <c r="J17" s="24" t="s">
        <v>1159</v>
      </c>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milscm_2023_010.azn_202310_backup_merge_receiptd_bu.shinryo_ym IS '診療年月';</v>
      </c>
    </row>
    <row r="18" spans="1:52" s="25" customFormat="1">
      <c r="B18" s="21">
        <f t="shared" si="2"/>
        <v>6</v>
      </c>
      <c r="C18" s="13" t="s">
        <v>320</v>
      </c>
      <c r="D18" s="13" t="s">
        <v>209</v>
      </c>
      <c r="E18" s="7"/>
      <c r="F18" s="7" t="s">
        <v>868</v>
      </c>
      <c r="G18" s="7" t="str">
        <f t="shared" si="3"/>
        <v>text</v>
      </c>
      <c r="H18" s="58" t="s">
        <v>977</v>
      </c>
      <c r="I18" s="23" t="s">
        <v>127</v>
      </c>
      <c r="J18" s="24" t="s">
        <v>978</v>
      </c>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milscm_2023_010.azn_202310_backup_merge_receiptd_bu.data_type IS 'データ種別';</v>
      </c>
    </row>
    <row r="19" spans="1:52" s="25" customFormat="1">
      <c r="B19" s="21">
        <f t="shared" si="2"/>
        <v>7</v>
      </c>
      <c r="C19" s="13" t="s">
        <v>951</v>
      </c>
      <c r="D19" s="13" t="s">
        <v>952</v>
      </c>
      <c r="E19" s="7" t="s">
        <v>127</v>
      </c>
      <c r="F19" s="7" t="s">
        <v>868</v>
      </c>
      <c r="G19" s="7" t="str">
        <f t="shared" si="3"/>
        <v>text</v>
      </c>
      <c r="H19" s="58"/>
      <c r="I19" s="23" t="s">
        <v>127</v>
      </c>
      <c r="J19" s="24" t="s">
        <v>1102</v>
      </c>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milscm_2023_010.azn_202310_backup_merge_receiptd_bu.shinsa_kikan IS '審査支払機関';</v>
      </c>
    </row>
    <row r="20" spans="1:52" s="25" customFormat="1">
      <c r="B20" s="21">
        <f t="shared" si="2"/>
        <v>8</v>
      </c>
      <c r="C20" s="13" t="s">
        <v>953</v>
      </c>
      <c r="D20" s="13" t="s">
        <v>954</v>
      </c>
      <c r="E20" s="7"/>
      <c r="F20" s="7" t="s">
        <v>868</v>
      </c>
      <c r="G20" s="7" t="str">
        <f t="shared" si="3"/>
        <v>text</v>
      </c>
      <c r="H20" s="58" t="s">
        <v>1263</v>
      </c>
      <c r="I20" s="23" t="s">
        <v>127</v>
      </c>
      <c r="J20" s="24" t="s">
        <v>1264</v>
      </c>
      <c r="N20" s="78"/>
      <c r="O20" s="78"/>
      <c r="P20" s="78" t="str">
        <f t="shared" si="4"/>
        <v>,record_shikibetsu</v>
      </c>
      <c r="Q20" s="78" t="str">
        <f t="shared" si="0"/>
        <v>TEXT</v>
      </c>
      <c r="R20" s="78" t="str">
        <f t="shared" si="1"/>
        <v>default 'BU'</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milscm_2023_010.azn_202310_backup_merge_receiptd_bu.record_shikibetsu IS 'レコード識別情報';</v>
      </c>
    </row>
    <row r="21" spans="1:52" s="25" customFormat="1">
      <c r="B21" s="21">
        <f t="shared" si="2"/>
        <v>9</v>
      </c>
      <c r="C21" s="13" t="s">
        <v>955</v>
      </c>
      <c r="D21" s="13" t="s">
        <v>956</v>
      </c>
      <c r="E21" s="7" t="s">
        <v>127</v>
      </c>
      <c r="F21" s="7" t="s">
        <v>205</v>
      </c>
      <c r="G21" s="7" t="str">
        <f t="shared" si="3"/>
        <v>integer</v>
      </c>
      <c r="H21" s="58"/>
      <c r="I21" s="23" t="s">
        <v>127</v>
      </c>
      <c r="J21" s="24" t="s">
        <v>1105</v>
      </c>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milscm_2023_010.azn_202310_backup_merge_receiptd_bu.receipt_no IS 'レセプト番号';</v>
      </c>
    </row>
    <row r="22" spans="1:52" s="25" customFormat="1">
      <c r="B22" s="21">
        <f t="shared" si="2"/>
        <v>10</v>
      </c>
      <c r="C22" s="13" t="s">
        <v>957</v>
      </c>
      <c r="D22" s="13" t="s">
        <v>958</v>
      </c>
      <c r="E22" s="7" t="s">
        <v>127</v>
      </c>
      <c r="F22" s="7" t="s">
        <v>205</v>
      </c>
      <c r="G22" s="7" t="str">
        <f t="shared" si="3"/>
        <v>integer</v>
      </c>
      <c r="H22" s="58"/>
      <c r="I22" s="23" t="s">
        <v>127</v>
      </c>
      <c r="J22" s="24" t="s">
        <v>1250</v>
      </c>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milscm_2023_010.azn_202310_backup_merge_receiptd_bu.gyo_no IS '行番号';</v>
      </c>
    </row>
    <row r="23" spans="1:52" s="25" customFormat="1">
      <c r="B23" s="21">
        <f t="shared" si="2"/>
        <v>11</v>
      </c>
      <c r="C23" s="13" t="s">
        <v>959</v>
      </c>
      <c r="D23" s="13" t="s">
        <v>960</v>
      </c>
      <c r="E23" s="7"/>
      <c r="F23" s="7" t="s">
        <v>868</v>
      </c>
      <c r="G23" s="7" t="str">
        <f t="shared" si="3"/>
        <v>text</v>
      </c>
      <c r="H23" s="58"/>
      <c r="I23" s="23"/>
      <c r="J23" s="24" t="s">
        <v>1107</v>
      </c>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milscm_2023_010.azn_202310_backup_merge_receiptd_bu.karute_no IS 'カルテ番号等';</v>
      </c>
    </row>
    <row r="24" spans="1:52" s="25" customFormat="1">
      <c r="B24" s="21">
        <f t="shared" si="2"/>
        <v>12</v>
      </c>
      <c r="C24" s="13" t="s">
        <v>1243</v>
      </c>
      <c r="D24" s="13" t="s">
        <v>1244</v>
      </c>
      <c r="E24" s="7"/>
      <c r="F24" s="7" t="s">
        <v>868</v>
      </c>
      <c r="G24" s="7" t="str">
        <f t="shared" si="3"/>
        <v>text</v>
      </c>
      <c r="H24" s="58"/>
      <c r="I24" s="23"/>
      <c r="J24" s="24" t="s">
        <v>1265</v>
      </c>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milscm_2023_010.azn_202310_backup_merge_receiptd_bu.receipt_sokatsu_kubun IS 'レセプト総括区分';</v>
      </c>
    </row>
    <row r="25" spans="1:52" s="25" customFormat="1">
      <c r="B25" s="21">
        <f t="shared" si="2"/>
        <v>13</v>
      </c>
      <c r="C25" s="13" t="s">
        <v>1253</v>
      </c>
      <c r="D25" s="13" t="s">
        <v>1254</v>
      </c>
      <c r="E25" s="7"/>
      <c r="F25" s="7" t="s">
        <v>868</v>
      </c>
      <c r="G25" s="7" t="str">
        <f t="shared" si="3"/>
        <v>text</v>
      </c>
      <c r="H25" s="58"/>
      <c r="I25" s="23"/>
      <c r="J25" s="24"/>
      <c r="N25" s="78"/>
      <c r="O25" s="78"/>
      <c r="P25" s="78" t="str">
        <f t="shared" si="4"/>
        <v>,shindangun_no</v>
      </c>
      <c r="Q25" s="78" t="str">
        <f t="shared" si="0"/>
        <v>TEXT</v>
      </c>
      <c r="R25" s="78" t="str">
        <f t="shared" si="1"/>
        <v/>
      </c>
      <c r="S25" s="78" t="str">
        <f t="shared" si="5"/>
        <v/>
      </c>
      <c r="T25" s="78" t="str">
        <f t="shared" si="6"/>
        <v>-- 診断群分類番号</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milscm_2023_010.azn_202310_backup_merge_receiptd_bu.shindangun_no IS '診断群分類番号';</v>
      </c>
    </row>
    <row r="26" spans="1:52" s="25" customFormat="1" ht="75">
      <c r="B26" s="21">
        <f t="shared" si="2"/>
        <v>14</v>
      </c>
      <c r="C26" s="13" t="s">
        <v>1255</v>
      </c>
      <c r="D26" s="13" t="s">
        <v>1256</v>
      </c>
      <c r="E26" s="7"/>
      <c r="F26" s="7" t="s">
        <v>868</v>
      </c>
      <c r="G26" s="7" t="str">
        <f t="shared" si="3"/>
        <v>text</v>
      </c>
      <c r="H26" s="58"/>
      <c r="I26" s="23"/>
      <c r="J26" s="24" t="s">
        <v>1111</v>
      </c>
      <c r="N26" s="78"/>
      <c r="O26" s="78"/>
      <c r="P26" s="78" t="str">
        <f t="shared" si="4"/>
        <v>,konnyuin_ymd</v>
      </c>
      <c r="Q26" s="78" t="str">
        <f t="shared" si="0"/>
        <v>TEXT</v>
      </c>
      <c r="R26" s="78" t="str">
        <f t="shared" si="1"/>
        <v/>
      </c>
      <c r="S26" s="78" t="str">
        <f t="shared" si="5"/>
        <v/>
      </c>
      <c r="T26" s="78" t="str">
        <f t="shared" si="6"/>
        <v xml:space="preserve">-- 今回入院年月日 </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milscm_2023_010.azn_202310_backup_merge_receiptd_bu.konnyuin_ymd IS '今回入院年月日 ';</v>
      </c>
    </row>
    <row r="27" spans="1:52" s="25" customFormat="1" ht="75">
      <c r="B27" s="21">
        <f t="shared" si="2"/>
        <v>15</v>
      </c>
      <c r="C27" s="13" t="s">
        <v>1257</v>
      </c>
      <c r="D27" s="13" t="s">
        <v>1258</v>
      </c>
      <c r="E27" s="7"/>
      <c r="F27" s="7" t="s">
        <v>868</v>
      </c>
      <c r="G27" s="7" t="str">
        <f t="shared" si="3"/>
        <v>text</v>
      </c>
      <c r="H27" s="58"/>
      <c r="I27" s="23"/>
      <c r="J27" s="24" t="s">
        <v>1111</v>
      </c>
      <c r="N27" s="78"/>
      <c r="O27" s="78"/>
      <c r="P27" s="78" t="str">
        <f t="shared" si="4"/>
        <v>,kontaiin_ymd</v>
      </c>
      <c r="Q27" s="78" t="str">
        <f t="shared" si="0"/>
        <v>TEXT</v>
      </c>
      <c r="R27" s="78" t="str">
        <f t="shared" si="1"/>
        <v/>
      </c>
      <c r="S27" s="78" t="str">
        <f t="shared" si="5"/>
        <v/>
      </c>
      <c r="T27" s="78" t="str">
        <f t="shared" si="6"/>
        <v>-- 今回退院年月日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milscm_2023_010.azn_202310_backup_merge_receiptd_bu.kontaiin_ymd IS '今回退院年月日';</v>
      </c>
    </row>
    <row r="28" spans="1:52" s="25" customFormat="1">
      <c r="B28" s="21">
        <f t="shared" si="2"/>
        <v>16</v>
      </c>
      <c r="C28" s="13" t="s">
        <v>1259</v>
      </c>
      <c r="D28" s="13" t="s">
        <v>1260</v>
      </c>
      <c r="E28" s="7"/>
      <c r="F28" s="7" t="s">
        <v>868</v>
      </c>
      <c r="G28" s="7" t="str">
        <f t="shared" si="3"/>
        <v>text</v>
      </c>
      <c r="H28" s="58"/>
      <c r="I28" s="23"/>
      <c r="J28" s="24"/>
      <c r="N28" s="78"/>
      <c r="O28" s="78"/>
      <c r="P28" s="78" t="str">
        <f t="shared" si="4"/>
        <v>,dpc_tenki_code</v>
      </c>
      <c r="Q28" s="78" t="str">
        <f t="shared" si="0"/>
        <v>TEXT</v>
      </c>
      <c r="R28" s="78" t="str">
        <f t="shared" si="1"/>
        <v/>
      </c>
      <c r="S28" s="78" t="str">
        <f t="shared" si="5"/>
        <v/>
      </c>
      <c r="T28" s="78" t="str">
        <f t="shared" si="6"/>
        <v>-- DPC転帰区分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milscm_2023_010.azn_202310_backup_merge_receiptd_bu.dpc_tenki_code IS 'DPC転帰区分';</v>
      </c>
    </row>
    <row r="29" spans="1:52" s="25" customFormat="1" ht="19.5" thickBot="1">
      <c r="A29" s="4"/>
      <c r="B29" s="27">
        <f>ROW()-12</f>
        <v>17</v>
      </c>
      <c r="C29" s="57" t="s">
        <v>1261</v>
      </c>
      <c r="D29" s="57" t="s">
        <v>1262</v>
      </c>
      <c r="E29" s="56"/>
      <c r="F29" s="56" t="s">
        <v>868</v>
      </c>
      <c r="G29" s="56" t="str">
        <f t="shared" si="3"/>
        <v>text</v>
      </c>
      <c r="H29" s="59"/>
      <c r="I29" s="60"/>
      <c r="J29" s="64"/>
      <c r="N29" s="78"/>
      <c r="O29" s="78"/>
      <c r="P29" s="78" t="str">
        <f t="shared" si="4"/>
        <v>,death_cause</v>
      </c>
      <c r="Q29" s="78" t="str">
        <f t="shared" si="0"/>
        <v>TEXT</v>
      </c>
      <c r="R29" s="78" t="str">
        <f t="shared" si="1"/>
        <v/>
      </c>
      <c r="S29" s="78" t="str">
        <f t="shared" si="5"/>
        <v/>
      </c>
      <c r="T29" s="78" t="str">
        <f t="shared" si="6"/>
        <v>-- 死因</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milscm_2023_010.azn_202310_backup_merge_receiptd_bu.death_cause IS '死因';</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600-000000000000}"/>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ENT_01_C3-09</v>
      </c>
      <c r="E6" s="239"/>
      <c r="F6" s="239"/>
      <c r="G6" s="239"/>
      <c r="H6" s="239"/>
      <c r="I6" s="239"/>
      <c r="J6" s="240"/>
    </row>
    <row r="7" spans="1:45">
      <c r="B7" s="228" t="s">
        <v>115</v>
      </c>
      <c r="C7" s="229"/>
      <c r="D7" s="230" t="s">
        <v>1267</v>
      </c>
      <c r="E7" s="231"/>
      <c r="F7" s="231"/>
      <c r="G7" s="231"/>
      <c r="H7" s="231"/>
      <c r="I7" s="231"/>
      <c r="J7" s="232"/>
    </row>
    <row r="8" spans="1:45">
      <c r="B8" s="228" t="s">
        <v>116</v>
      </c>
      <c r="C8" s="229"/>
      <c r="D8" s="230" t="str">
        <f>エンティティ一覧!AE2&amp;"_"&amp;D5&amp;"_merge_receiptd_sb"</f>
        <v>azn_202310_backup_merge_receiptd_sb</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milscm_2023_010.azn_202310_backup_merge_receiptd_sb;</v>
      </c>
      <c r="O10" s="78"/>
      <c r="P10" s="78"/>
      <c r="Q10" s="78"/>
      <c r="R10" s="78"/>
      <c r="S10" s="78"/>
      <c r="T10" s="78"/>
      <c r="AJ10" s="78" t="str">
        <f>"ALTER TABLE ONLY "&amp;エンティティ一覧!$O$2&amp;"."&amp;D$8</f>
        <v>ALTER TABLE ONLY milscm_2023_010.azn_202310_backup_merge_receiptd_sb</v>
      </c>
      <c r="AS10" s="78" t="str">
        <f>"ALTER TABLE "&amp;エンティティ一覧!$O$2&amp;"."&amp;D$8&amp;" OWNER TO pgmisgrp1;"</f>
        <v>ALTER TABLE milscm_2023_010.azn_202310_backup_merge_receiptd_sb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milscm_2023_010.azn_202310_backup_merge_receiptd_sb</v>
      </c>
      <c r="O11" s="78"/>
      <c r="P11" s="78"/>
      <c r="Q11" s="78"/>
      <c r="R11" s="78"/>
      <c r="S11" s="78"/>
      <c r="T11" s="78"/>
      <c r="AJ11" s="78" t="str">
        <f>"ADD CONSTRAINT "&amp;D$8&amp;"_pkey PRIMARY KEY"</f>
        <v>ADD CONSTRAINT azn_202310_backup_merge_receiptd_sb_pkey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milscm_2023_010.azn_202310_backup_merge_receiptd_sb IS 'バックアップ_DPCレセプト_傷病レコード';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milscm_2023_010.azn_202310_backup_merge_receiptd_sb.torikomi_ym IS '取込年月';</v>
      </c>
    </row>
    <row r="14" spans="1:45" s="25" customFormat="1">
      <c r="A14" s="4"/>
      <c r="B14" s="21">
        <f t="shared" ref="B14:B49" si="2">ROW()-12</f>
        <v>2</v>
      </c>
      <c r="C14" s="6" t="s">
        <v>203</v>
      </c>
      <c r="D14" s="6" t="s">
        <v>204</v>
      </c>
      <c r="E14" s="8"/>
      <c r="F14" s="7" t="s">
        <v>205</v>
      </c>
      <c r="G14" s="7" t="str">
        <f t="shared" ref="G14:G50" si="3">IF(F14="フラグ","boolean",IF(F14="文字列","text",IF(F14="整数","integer",IF(F14="実数","numeric",""))))</f>
        <v>integer</v>
      </c>
      <c r="H14" s="26"/>
      <c r="I14" s="10"/>
      <c r="J14" s="11" t="s">
        <v>258</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milscm_2023_010.azn_202310_backup_merge_receiptd_sb.mil_karute_id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milscm_2023_010.azn_202310_backup_merge_receiptd_sb.facility_id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milscm_2023_010.azn_202310_backup_merge_receiptd_sb.seikyu_ym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milscm_2023_010.azn_202310_backup_merge_receiptd_sb.shinryo_ym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milscm_2023_010.azn_202310_backup_merge_receiptd_sb.data_type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milscm_2023_010.azn_202310_backup_merge_receiptd_sb.shinsa_kikan IS '審査支払機関';</v>
      </c>
    </row>
    <row r="20" spans="1:45" s="25" customFormat="1">
      <c r="A20" s="4"/>
      <c r="B20" s="21">
        <f t="shared" si="2"/>
        <v>8</v>
      </c>
      <c r="C20" s="13" t="s">
        <v>953</v>
      </c>
      <c r="D20" s="13" t="s">
        <v>954</v>
      </c>
      <c r="E20" s="7"/>
      <c r="F20" s="7" t="s">
        <v>868</v>
      </c>
      <c r="G20" s="7" t="str">
        <f t="shared" si="3"/>
        <v>text</v>
      </c>
      <c r="H20" s="58" t="s">
        <v>1270</v>
      </c>
      <c r="I20" s="23" t="s">
        <v>127</v>
      </c>
      <c r="J20" s="24" t="s">
        <v>1271</v>
      </c>
      <c r="M20" s="4"/>
      <c r="N20" s="78"/>
      <c r="O20" s="78"/>
      <c r="P20" s="78" t="str">
        <f t="shared" si="4"/>
        <v>,record_shikibetsu</v>
      </c>
      <c r="Q20" s="78" t="str">
        <f t="shared" si="0"/>
        <v>TEXT</v>
      </c>
      <c r="R20" s="78" t="str">
        <f t="shared" si="1"/>
        <v>default 'SB'</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milscm_2023_010.azn_202310_backup_merge_receiptd_sb.record_shikibetsu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milscm_2023_010.azn_202310_backup_merge_receiptd_sb.receipt_no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milscm_2023_010.azn_202310_backup_merge_receiptd_sb.gyo_no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milscm_2023_010.azn_202310_backup_merge_receiptd_sb.karute_no IS 'カルテ番号等';</v>
      </c>
    </row>
    <row r="24" spans="1:45" s="25" customFormat="1">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milscm_2023_010.azn_202310_backup_merge_receiptd_sb.receipt_sokatsu_kubun IS 'レセプト総括区分';</v>
      </c>
    </row>
    <row r="25" spans="1:45" s="25" customFormat="1">
      <c r="A25" s="4"/>
      <c r="B25" s="21">
        <f t="shared" si="2"/>
        <v>13</v>
      </c>
      <c r="C25" s="13" t="s">
        <v>668</v>
      </c>
      <c r="D25" s="13" t="s">
        <v>875</v>
      </c>
      <c r="E25" s="7"/>
      <c r="F25" s="7" t="s">
        <v>868</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milscm_2023_010.azn_202310_backup_merge_receiptd_sb.shobyo_code IS '傷病名コード';</v>
      </c>
    </row>
    <row r="26" spans="1:45" s="25" customFormat="1">
      <c r="A26" s="4"/>
      <c r="B26" s="21">
        <f t="shared" si="2"/>
        <v>14</v>
      </c>
      <c r="C26" s="13" t="s">
        <v>670</v>
      </c>
      <c r="D26" s="13" t="s">
        <v>876</v>
      </c>
      <c r="E26" s="7"/>
      <c r="F26" s="7" t="s">
        <v>868</v>
      </c>
      <c r="G26" s="7" t="str">
        <f t="shared" si="3"/>
        <v>text</v>
      </c>
      <c r="H26" s="58"/>
      <c r="I26" s="23"/>
      <c r="J26" s="24" t="s">
        <v>1163</v>
      </c>
      <c r="M26" s="4"/>
      <c r="N26" s="78"/>
      <c r="O26" s="78"/>
      <c r="P26" s="78" t="str">
        <f t="shared" si="4"/>
        <v>,shushoku_code1</v>
      </c>
      <c r="Q26" s="78" t="str">
        <f t="shared" si="0"/>
        <v>TEXT</v>
      </c>
      <c r="R26" s="78" t="str">
        <f t="shared" si="1"/>
        <v/>
      </c>
      <c r="S26" s="78" t="str">
        <f t="shared" si="5"/>
        <v/>
      </c>
      <c r="T26" s="78" t="str">
        <f t="shared" si="6"/>
        <v>-- 修飾語コード1</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milscm_2023_010.azn_202310_backup_merge_receiptd_sb.shushoku_code1 IS '修飾語コード1';</v>
      </c>
    </row>
    <row r="27" spans="1:45" s="25" customFormat="1">
      <c r="A27" s="4"/>
      <c r="B27" s="21">
        <f t="shared" si="2"/>
        <v>15</v>
      </c>
      <c r="C27" s="13" t="s">
        <v>672</v>
      </c>
      <c r="D27" s="13" t="s">
        <v>877</v>
      </c>
      <c r="E27" s="7"/>
      <c r="F27" s="7" t="s">
        <v>868</v>
      </c>
      <c r="G27" s="7" t="str">
        <f t="shared" si="3"/>
        <v>text</v>
      </c>
      <c r="H27" s="58"/>
      <c r="I27" s="23"/>
      <c r="J27" s="24"/>
      <c r="M27" s="4"/>
      <c r="N27" s="78"/>
      <c r="O27" s="78"/>
      <c r="P27" s="78" t="str">
        <f t="shared" si="4"/>
        <v>,shushoku_code2</v>
      </c>
      <c r="Q27" s="78" t="str">
        <f t="shared" si="0"/>
        <v>TEXT</v>
      </c>
      <c r="R27" s="78" t="str">
        <f t="shared" si="1"/>
        <v/>
      </c>
      <c r="S27" s="78" t="str">
        <f t="shared" si="5"/>
        <v/>
      </c>
      <c r="T27" s="78" t="str">
        <f t="shared" si="6"/>
        <v>-- 修飾語コード2</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milscm_2023_010.azn_202310_backup_merge_receiptd_sb.shushoku_code2 IS '修飾語コード2';</v>
      </c>
    </row>
    <row r="28" spans="1:45" s="25" customFormat="1">
      <c r="A28" s="4"/>
      <c r="B28" s="21">
        <f t="shared" si="2"/>
        <v>16</v>
      </c>
      <c r="C28" s="13" t="s">
        <v>674</v>
      </c>
      <c r="D28" s="13" t="s">
        <v>878</v>
      </c>
      <c r="E28" s="7"/>
      <c r="F28" s="7" t="s">
        <v>868</v>
      </c>
      <c r="G28" s="7" t="str">
        <f t="shared" si="3"/>
        <v>text</v>
      </c>
      <c r="H28" s="58"/>
      <c r="I28" s="23"/>
      <c r="J28" s="24"/>
      <c r="M28" s="4"/>
      <c r="N28" s="78"/>
      <c r="O28" s="78"/>
      <c r="P28" s="78" t="str">
        <f t="shared" si="4"/>
        <v>,shushoku_code3</v>
      </c>
      <c r="Q28" s="78" t="str">
        <f t="shared" si="0"/>
        <v>TEXT</v>
      </c>
      <c r="R28" s="78" t="str">
        <f t="shared" si="1"/>
        <v/>
      </c>
      <c r="S28" s="78" t="str">
        <f t="shared" si="5"/>
        <v/>
      </c>
      <c r="T28" s="78" t="str">
        <f t="shared" si="6"/>
        <v>-- 修飾語コード3</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milscm_2023_010.azn_202310_backup_merge_receiptd_sb.shushoku_code3 IS '修飾語コード3';</v>
      </c>
    </row>
    <row r="29" spans="1:45" s="25" customFormat="1">
      <c r="A29" s="4"/>
      <c r="B29" s="21">
        <f t="shared" si="2"/>
        <v>17</v>
      </c>
      <c r="C29" s="13" t="s">
        <v>676</v>
      </c>
      <c r="D29" s="13" t="s">
        <v>879</v>
      </c>
      <c r="E29" s="7"/>
      <c r="F29" s="7" t="s">
        <v>868</v>
      </c>
      <c r="G29" s="7" t="str">
        <f t="shared" si="3"/>
        <v>text</v>
      </c>
      <c r="H29" s="58"/>
      <c r="I29" s="23"/>
      <c r="J29" s="24"/>
      <c r="M29" s="4"/>
      <c r="N29" s="78"/>
      <c r="O29" s="78"/>
      <c r="P29" s="78" t="str">
        <f t="shared" si="4"/>
        <v>,shushoku_code4</v>
      </c>
      <c r="Q29" s="78" t="str">
        <f t="shared" si="0"/>
        <v>TEXT</v>
      </c>
      <c r="R29" s="78" t="str">
        <f t="shared" si="1"/>
        <v/>
      </c>
      <c r="S29" s="78" t="str">
        <f t="shared" si="5"/>
        <v/>
      </c>
      <c r="T29" s="78" t="str">
        <f t="shared" si="6"/>
        <v>-- 修飾語コード4</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milscm_2023_010.azn_202310_backup_merge_receiptd_sb.shushoku_code4 IS '修飾語コード4';</v>
      </c>
    </row>
    <row r="30" spans="1:45" s="25" customFormat="1">
      <c r="A30" s="4"/>
      <c r="B30" s="21">
        <f t="shared" si="2"/>
        <v>18</v>
      </c>
      <c r="C30" s="13" t="s">
        <v>1121</v>
      </c>
      <c r="D30" s="13" t="s">
        <v>1122</v>
      </c>
      <c r="E30" s="7"/>
      <c r="F30" s="7" t="s">
        <v>868</v>
      </c>
      <c r="G30" s="7" t="str">
        <f t="shared" si="3"/>
        <v>text</v>
      </c>
      <c r="H30" s="58"/>
      <c r="I30" s="23"/>
      <c r="J30" s="24"/>
      <c r="M30" s="4"/>
      <c r="N30" s="78"/>
      <c r="O30" s="78"/>
      <c r="P30" s="78" t="str">
        <f t="shared" si="4"/>
        <v>,shushoku_code5</v>
      </c>
      <c r="Q30" s="78" t="str">
        <f t="shared" si="0"/>
        <v>TEXT</v>
      </c>
      <c r="R30" s="78" t="str">
        <f t="shared" si="1"/>
        <v/>
      </c>
      <c r="S30" s="78" t="str">
        <f t="shared" si="5"/>
        <v/>
      </c>
      <c r="T30" s="78" t="str">
        <f t="shared" si="6"/>
        <v>-- 修飾語コード5</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milscm_2023_010.azn_202310_backup_merge_receiptd_sb.shushoku_code5 IS '修飾語コード5';</v>
      </c>
    </row>
    <row r="31" spans="1:45" s="25" customFormat="1">
      <c r="A31" s="4"/>
      <c r="B31" s="21">
        <f t="shared" si="2"/>
        <v>19</v>
      </c>
      <c r="C31" s="13" t="s">
        <v>1123</v>
      </c>
      <c r="D31" s="13" t="s">
        <v>1124</v>
      </c>
      <c r="E31" s="7"/>
      <c r="F31" s="7" t="s">
        <v>868</v>
      </c>
      <c r="G31" s="7" t="str">
        <f t="shared" si="3"/>
        <v>text</v>
      </c>
      <c r="H31" s="58"/>
      <c r="I31" s="23"/>
      <c r="J31" s="24"/>
      <c r="M31" s="4"/>
      <c r="N31" s="78"/>
      <c r="O31" s="78"/>
      <c r="P31" s="78" t="str">
        <f t="shared" si="4"/>
        <v>,shushoku_code6</v>
      </c>
      <c r="Q31" s="78" t="str">
        <f t="shared" si="0"/>
        <v>TEXT</v>
      </c>
      <c r="R31" s="78" t="str">
        <f t="shared" si="1"/>
        <v/>
      </c>
      <c r="S31" s="78" t="str">
        <f t="shared" si="5"/>
        <v/>
      </c>
      <c r="T31" s="78" t="str">
        <f t="shared" si="6"/>
        <v>-- 修飾語コード6</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milscm_2023_010.azn_202310_backup_merge_receiptd_sb.shushoku_code6 IS '修飾語コード6';</v>
      </c>
    </row>
    <row r="32" spans="1:45" s="25" customFormat="1">
      <c r="A32" s="4"/>
      <c r="B32" s="21">
        <f t="shared" si="2"/>
        <v>20</v>
      </c>
      <c r="C32" s="13" t="s">
        <v>1125</v>
      </c>
      <c r="D32" s="13" t="s">
        <v>1126</v>
      </c>
      <c r="E32" s="7"/>
      <c r="F32" s="7" t="s">
        <v>868</v>
      </c>
      <c r="G32" s="7" t="str">
        <f t="shared" si="3"/>
        <v>text</v>
      </c>
      <c r="H32" s="58"/>
      <c r="I32" s="23"/>
      <c r="J32" s="24"/>
      <c r="M32" s="4"/>
      <c r="N32" s="78"/>
      <c r="O32" s="78"/>
      <c r="P32" s="78" t="str">
        <f t="shared" si="4"/>
        <v>,shushoku_code7</v>
      </c>
      <c r="Q32" s="78" t="str">
        <f t="shared" si="0"/>
        <v>TEXT</v>
      </c>
      <c r="R32" s="78" t="str">
        <f t="shared" si="1"/>
        <v/>
      </c>
      <c r="S32" s="78" t="str">
        <f t="shared" si="5"/>
        <v/>
      </c>
      <c r="T32" s="78" t="str">
        <f t="shared" si="6"/>
        <v>-- 修飾語コード7</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milscm_2023_010.azn_202310_backup_merge_receiptd_sb.shushoku_code7 IS '修飾語コード7';</v>
      </c>
    </row>
    <row r="33" spans="1:45" s="25" customFormat="1">
      <c r="A33" s="4"/>
      <c r="B33" s="21">
        <f t="shared" si="2"/>
        <v>21</v>
      </c>
      <c r="C33" s="13" t="s">
        <v>1127</v>
      </c>
      <c r="D33" s="13" t="s">
        <v>1128</v>
      </c>
      <c r="E33" s="7"/>
      <c r="F33" s="7" t="s">
        <v>868</v>
      </c>
      <c r="G33" s="7" t="str">
        <f t="shared" si="3"/>
        <v>text</v>
      </c>
      <c r="H33" s="58"/>
      <c r="I33" s="23"/>
      <c r="J33" s="24"/>
      <c r="M33" s="4"/>
      <c r="N33" s="78"/>
      <c r="O33" s="78"/>
      <c r="P33" s="78" t="str">
        <f t="shared" si="4"/>
        <v>,shushoku_code8</v>
      </c>
      <c r="Q33" s="78" t="str">
        <f t="shared" si="0"/>
        <v>TEXT</v>
      </c>
      <c r="R33" s="78" t="str">
        <f t="shared" si="1"/>
        <v/>
      </c>
      <c r="S33" s="78" t="str">
        <f t="shared" si="5"/>
        <v/>
      </c>
      <c r="T33" s="78" t="str">
        <f t="shared" si="6"/>
        <v>-- 修飾語コード8</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milscm_2023_010.azn_202310_backup_merge_receiptd_sb.shushoku_code8 IS '修飾語コード8';</v>
      </c>
    </row>
    <row r="34" spans="1:45" s="25" customFormat="1">
      <c r="A34" s="4"/>
      <c r="B34" s="21">
        <f t="shared" si="2"/>
        <v>22</v>
      </c>
      <c r="C34" s="13" t="s">
        <v>1129</v>
      </c>
      <c r="D34" s="13" t="s">
        <v>1130</v>
      </c>
      <c r="E34" s="7"/>
      <c r="F34" s="7" t="s">
        <v>868</v>
      </c>
      <c r="G34" s="7" t="str">
        <f t="shared" si="3"/>
        <v>text</v>
      </c>
      <c r="H34" s="58"/>
      <c r="I34" s="23"/>
      <c r="J34" s="24"/>
      <c r="M34" s="4"/>
      <c r="N34" s="78"/>
      <c r="O34" s="78"/>
      <c r="P34" s="78" t="str">
        <f t="shared" si="4"/>
        <v>,shushoku_code9</v>
      </c>
      <c r="Q34" s="78" t="str">
        <f t="shared" si="0"/>
        <v>TEXT</v>
      </c>
      <c r="R34" s="78" t="str">
        <f t="shared" si="1"/>
        <v/>
      </c>
      <c r="S34" s="78" t="str">
        <f t="shared" si="5"/>
        <v/>
      </c>
      <c r="T34" s="78" t="str">
        <f t="shared" si="6"/>
        <v>-- 修飾語コード9</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milscm_2023_010.azn_202310_backup_merge_receiptd_sb.shushoku_code9 IS '修飾語コード9';</v>
      </c>
    </row>
    <row r="35" spans="1:45" s="25" customFormat="1">
      <c r="A35" s="4"/>
      <c r="B35" s="21">
        <f t="shared" si="2"/>
        <v>23</v>
      </c>
      <c r="C35" s="13" t="s">
        <v>1131</v>
      </c>
      <c r="D35" s="13" t="s">
        <v>1132</v>
      </c>
      <c r="E35" s="7"/>
      <c r="F35" s="7" t="s">
        <v>868</v>
      </c>
      <c r="G35" s="7" t="str">
        <f t="shared" si="3"/>
        <v>text</v>
      </c>
      <c r="H35" s="58"/>
      <c r="I35" s="23"/>
      <c r="J35" s="24"/>
      <c r="M35" s="4"/>
      <c r="N35" s="78"/>
      <c r="O35" s="78"/>
      <c r="P35" s="78" t="str">
        <f t="shared" si="4"/>
        <v>,shushoku_code10</v>
      </c>
      <c r="Q35" s="78" t="str">
        <f t="shared" si="0"/>
        <v>TEXT</v>
      </c>
      <c r="R35" s="78" t="str">
        <f t="shared" si="1"/>
        <v/>
      </c>
      <c r="S35" s="78" t="str">
        <f t="shared" si="5"/>
        <v/>
      </c>
      <c r="T35" s="78" t="str">
        <f t="shared" si="6"/>
        <v>-- 修飾語コード10</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milscm_2023_010.azn_202310_backup_merge_receiptd_sb.shushoku_code10 IS '修飾語コード10';</v>
      </c>
    </row>
    <row r="36" spans="1:45" s="25" customFormat="1">
      <c r="A36" s="4"/>
      <c r="B36" s="21">
        <f t="shared" si="2"/>
        <v>24</v>
      </c>
      <c r="C36" s="13" t="s">
        <v>1133</v>
      </c>
      <c r="D36" s="13" t="s">
        <v>1134</v>
      </c>
      <c r="E36" s="7"/>
      <c r="F36" s="7" t="s">
        <v>868</v>
      </c>
      <c r="G36" s="7" t="str">
        <f t="shared" si="3"/>
        <v>text</v>
      </c>
      <c r="H36" s="58"/>
      <c r="I36" s="23"/>
      <c r="J36" s="24"/>
      <c r="M36" s="4"/>
      <c r="N36" s="78"/>
      <c r="O36" s="78"/>
      <c r="P36" s="78" t="str">
        <f t="shared" si="4"/>
        <v>,shushoku_code11</v>
      </c>
      <c r="Q36" s="78" t="str">
        <f t="shared" si="0"/>
        <v>TEXT</v>
      </c>
      <c r="R36" s="78" t="str">
        <f t="shared" si="1"/>
        <v/>
      </c>
      <c r="S36" s="78" t="str">
        <f t="shared" si="5"/>
        <v/>
      </c>
      <c r="T36" s="78" t="str">
        <f t="shared" si="6"/>
        <v>-- 修飾語コード11</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milscm_2023_010.azn_202310_backup_merge_receiptd_sb.shushoku_code11 IS '修飾語コード11';</v>
      </c>
    </row>
    <row r="37" spans="1:45" s="25" customFormat="1">
      <c r="A37" s="4"/>
      <c r="B37" s="21">
        <f t="shared" si="2"/>
        <v>25</v>
      </c>
      <c r="C37" s="13" t="s">
        <v>1135</v>
      </c>
      <c r="D37" s="13" t="s">
        <v>1136</v>
      </c>
      <c r="E37" s="7"/>
      <c r="F37" s="7" t="s">
        <v>868</v>
      </c>
      <c r="G37" s="7" t="str">
        <f t="shared" si="3"/>
        <v>text</v>
      </c>
      <c r="H37" s="58"/>
      <c r="I37" s="23"/>
      <c r="J37" s="24"/>
      <c r="M37" s="4"/>
      <c r="N37" s="78"/>
      <c r="O37" s="78"/>
      <c r="P37" s="78" t="str">
        <f t="shared" si="4"/>
        <v>,shushoku_code12</v>
      </c>
      <c r="Q37" s="78" t="str">
        <f t="shared" si="0"/>
        <v>TEXT</v>
      </c>
      <c r="R37" s="78" t="str">
        <f t="shared" si="1"/>
        <v/>
      </c>
      <c r="S37" s="78" t="str">
        <f t="shared" si="5"/>
        <v/>
      </c>
      <c r="T37" s="78" t="str">
        <f t="shared" si="6"/>
        <v>-- 修飾語コード12</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milscm_2023_010.azn_202310_backup_merge_receiptd_sb.shushoku_code12 IS '修飾語コード12';</v>
      </c>
    </row>
    <row r="38" spans="1:45" s="25" customFormat="1">
      <c r="A38" s="4"/>
      <c r="B38" s="21">
        <f t="shared" si="2"/>
        <v>26</v>
      </c>
      <c r="C38" s="13" t="s">
        <v>1137</v>
      </c>
      <c r="D38" s="13" t="s">
        <v>1138</v>
      </c>
      <c r="E38" s="7"/>
      <c r="F38" s="7" t="s">
        <v>868</v>
      </c>
      <c r="G38" s="7" t="str">
        <f t="shared" si="3"/>
        <v>text</v>
      </c>
      <c r="H38" s="58"/>
      <c r="I38" s="23"/>
      <c r="J38" s="24"/>
      <c r="M38" s="4"/>
      <c r="N38" s="78"/>
      <c r="O38" s="78"/>
      <c r="P38" s="78" t="str">
        <f t="shared" si="4"/>
        <v>,shushoku_code13</v>
      </c>
      <c r="Q38" s="78" t="str">
        <f t="shared" si="0"/>
        <v>TEXT</v>
      </c>
      <c r="R38" s="78" t="str">
        <f t="shared" si="1"/>
        <v/>
      </c>
      <c r="S38" s="78" t="str">
        <f t="shared" si="5"/>
        <v/>
      </c>
      <c r="T38" s="78" t="str">
        <f t="shared" si="6"/>
        <v>-- 修飾語コード13</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milscm_2023_010.azn_202310_backup_merge_receiptd_sb.shushoku_code13 IS '修飾語コード13';</v>
      </c>
    </row>
    <row r="39" spans="1:45" s="25" customFormat="1">
      <c r="A39" s="4"/>
      <c r="B39" s="21">
        <f t="shared" si="2"/>
        <v>27</v>
      </c>
      <c r="C39" s="13" t="s">
        <v>1139</v>
      </c>
      <c r="D39" s="13" t="s">
        <v>1140</v>
      </c>
      <c r="E39" s="7"/>
      <c r="F39" s="7" t="s">
        <v>868</v>
      </c>
      <c r="G39" s="7" t="str">
        <f t="shared" si="3"/>
        <v>text</v>
      </c>
      <c r="H39" s="58"/>
      <c r="I39" s="23"/>
      <c r="J39" s="24"/>
      <c r="M39" s="4"/>
      <c r="N39" s="78"/>
      <c r="O39" s="78"/>
      <c r="P39" s="78" t="str">
        <f t="shared" si="4"/>
        <v>,shushoku_code14</v>
      </c>
      <c r="Q39" s="78" t="str">
        <f t="shared" si="0"/>
        <v>TEXT</v>
      </c>
      <c r="R39" s="78" t="str">
        <f t="shared" si="1"/>
        <v/>
      </c>
      <c r="S39" s="78" t="str">
        <f t="shared" si="5"/>
        <v/>
      </c>
      <c r="T39" s="78" t="str">
        <f t="shared" si="6"/>
        <v>-- 修飾語コード14</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milscm_2023_010.azn_202310_backup_merge_receiptd_sb.shushoku_code14 IS '修飾語コード14';</v>
      </c>
    </row>
    <row r="40" spans="1:45" s="25" customFormat="1">
      <c r="A40" s="4"/>
      <c r="B40" s="21">
        <f t="shared" si="2"/>
        <v>28</v>
      </c>
      <c r="C40" s="13" t="s">
        <v>1141</v>
      </c>
      <c r="D40" s="13" t="s">
        <v>1142</v>
      </c>
      <c r="E40" s="7"/>
      <c r="F40" s="7" t="s">
        <v>868</v>
      </c>
      <c r="G40" s="7" t="str">
        <f t="shared" si="3"/>
        <v>text</v>
      </c>
      <c r="H40" s="58"/>
      <c r="I40" s="23"/>
      <c r="J40" s="24"/>
      <c r="M40" s="4"/>
      <c r="N40" s="78"/>
      <c r="O40" s="78"/>
      <c r="P40" s="78" t="str">
        <f t="shared" si="4"/>
        <v>,shushoku_code15</v>
      </c>
      <c r="Q40" s="78" t="str">
        <f t="shared" si="0"/>
        <v>TEXT</v>
      </c>
      <c r="R40" s="78" t="str">
        <f t="shared" si="1"/>
        <v/>
      </c>
      <c r="S40" s="78" t="str">
        <f t="shared" si="5"/>
        <v/>
      </c>
      <c r="T40" s="78" t="str">
        <f t="shared" si="6"/>
        <v>-- 修飾語コード15</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milscm_2023_010.azn_202310_backup_merge_receiptd_sb.shushoku_code15 IS '修飾語コード15';</v>
      </c>
    </row>
    <row r="41" spans="1:45" s="25" customFormat="1">
      <c r="A41" s="4"/>
      <c r="B41" s="21">
        <f t="shared" si="2"/>
        <v>29</v>
      </c>
      <c r="C41" s="13" t="s">
        <v>1143</v>
      </c>
      <c r="D41" s="13" t="s">
        <v>1144</v>
      </c>
      <c r="E41" s="7"/>
      <c r="F41" s="7" t="s">
        <v>868</v>
      </c>
      <c r="G41" s="7" t="str">
        <f t="shared" si="3"/>
        <v>text</v>
      </c>
      <c r="H41" s="58"/>
      <c r="I41" s="23"/>
      <c r="J41" s="24"/>
      <c r="M41" s="4"/>
      <c r="N41" s="78"/>
      <c r="O41" s="78"/>
      <c r="P41" s="78" t="str">
        <f t="shared" si="4"/>
        <v>,shushoku_code16</v>
      </c>
      <c r="Q41" s="78" t="str">
        <f t="shared" si="0"/>
        <v>TEXT</v>
      </c>
      <c r="R41" s="78" t="str">
        <f t="shared" si="1"/>
        <v/>
      </c>
      <c r="S41" s="78" t="str">
        <f t="shared" si="5"/>
        <v/>
      </c>
      <c r="T41" s="78" t="str">
        <f t="shared" si="6"/>
        <v>-- 修飾語コード16</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milscm_2023_010.azn_202310_backup_merge_receiptd_sb.shushoku_code16 IS '修飾語コード16';</v>
      </c>
    </row>
    <row r="42" spans="1:45" s="25" customFormat="1">
      <c r="A42" s="4"/>
      <c r="B42" s="21">
        <f t="shared" si="2"/>
        <v>30</v>
      </c>
      <c r="C42" s="13" t="s">
        <v>1145</v>
      </c>
      <c r="D42" s="13" t="s">
        <v>1146</v>
      </c>
      <c r="E42" s="7"/>
      <c r="F42" s="7" t="s">
        <v>868</v>
      </c>
      <c r="G42" s="7" t="str">
        <f t="shared" si="3"/>
        <v>text</v>
      </c>
      <c r="H42" s="58"/>
      <c r="I42" s="23"/>
      <c r="J42" s="24"/>
      <c r="M42" s="4"/>
      <c r="N42" s="78"/>
      <c r="O42" s="78"/>
      <c r="P42" s="78" t="str">
        <f t="shared" si="4"/>
        <v>,shushoku_code17</v>
      </c>
      <c r="Q42" s="78" t="str">
        <f t="shared" si="0"/>
        <v>TEXT</v>
      </c>
      <c r="R42" s="78" t="str">
        <f t="shared" si="1"/>
        <v/>
      </c>
      <c r="S42" s="78" t="str">
        <f t="shared" si="5"/>
        <v/>
      </c>
      <c r="T42" s="78" t="str">
        <f t="shared" si="6"/>
        <v>-- 修飾語コード17</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milscm_2023_010.azn_202310_backup_merge_receiptd_sb.shushoku_code17 IS '修飾語コード17';</v>
      </c>
    </row>
    <row r="43" spans="1:45" s="25" customFormat="1">
      <c r="A43" s="4"/>
      <c r="B43" s="21">
        <f t="shared" si="2"/>
        <v>31</v>
      </c>
      <c r="C43" s="13" t="s">
        <v>1147</v>
      </c>
      <c r="D43" s="13" t="s">
        <v>1148</v>
      </c>
      <c r="E43" s="7"/>
      <c r="F43" s="7" t="s">
        <v>868</v>
      </c>
      <c r="G43" s="7" t="str">
        <f t="shared" si="3"/>
        <v>text</v>
      </c>
      <c r="H43" s="58"/>
      <c r="I43" s="23"/>
      <c r="J43" s="24"/>
      <c r="M43" s="4"/>
      <c r="N43" s="78"/>
      <c r="O43" s="78"/>
      <c r="P43" s="78" t="str">
        <f t="shared" si="4"/>
        <v>,shushoku_code18</v>
      </c>
      <c r="Q43" s="78" t="str">
        <f t="shared" si="0"/>
        <v>TEXT</v>
      </c>
      <c r="R43" s="78" t="str">
        <f t="shared" si="1"/>
        <v/>
      </c>
      <c r="S43" s="78" t="str">
        <f t="shared" si="5"/>
        <v/>
      </c>
      <c r="T43" s="78" t="str">
        <f t="shared" si="6"/>
        <v>-- 修飾語コード18</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milscm_2023_010.azn_202310_backup_merge_receiptd_sb.shushoku_code18 IS '修飾語コード18';</v>
      </c>
    </row>
    <row r="44" spans="1:45" s="25" customFormat="1">
      <c r="A44" s="4"/>
      <c r="B44" s="21">
        <f t="shared" si="2"/>
        <v>32</v>
      </c>
      <c r="C44" s="13" t="s">
        <v>1149</v>
      </c>
      <c r="D44" s="13" t="s">
        <v>1150</v>
      </c>
      <c r="E44" s="7"/>
      <c r="F44" s="7" t="s">
        <v>868</v>
      </c>
      <c r="G44" s="7" t="str">
        <f t="shared" si="3"/>
        <v>text</v>
      </c>
      <c r="H44" s="58"/>
      <c r="I44" s="23"/>
      <c r="J44" s="24"/>
      <c r="M44" s="4"/>
      <c r="N44" s="78"/>
      <c r="O44" s="78"/>
      <c r="P44" s="78" t="str">
        <f t="shared" si="4"/>
        <v>,shushoku_code19</v>
      </c>
      <c r="Q44" s="78" t="str">
        <f t="shared" si="0"/>
        <v>TEXT</v>
      </c>
      <c r="R44" s="78" t="str">
        <f t="shared" si="1"/>
        <v/>
      </c>
      <c r="S44" s="78" t="str">
        <f t="shared" si="5"/>
        <v/>
      </c>
      <c r="T44" s="78" t="str">
        <f t="shared" si="6"/>
        <v>-- 修飾語コード19</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milscm_2023_010.azn_202310_backup_merge_receiptd_sb.shushoku_code19 IS '修飾語コード19';</v>
      </c>
    </row>
    <row r="45" spans="1:45" s="25" customFormat="1">
      <c r="A45" s="4"/>
      <c r="B45" s="21">
        <f t="shared" si="2"/>
        <v>33</v>
      </c>
      <c r="C45" s="13" t="s">
        <v>1151</v>
      </c>
      <c r="D45" s="13" t="s">
        <v>1152</v>
      </c>
      <c r="E45" s="7"/>
      <c r="F45" s="7" t="s">
        <v>868</v>
      </c>
      <c r="G45" s="7" t="str">
        <f t="shared" si="3"/>
        <v>text</v>
      </c>
      <c r="H45" s="58"/>
      <c r="I45" s="23"/>
      <c r="J45" s="24"/>
      <c r="M45" s="4"/>
      <c r="N45" s="78"/>
      <c r="O45" s="78"/>
      <c r="P45" s="78" t="str">
        <f t="shared" si="4"/>
        <v>,shushoku_code20</v>
      </c>
      <c r="Q45" s="78" t="str">
        <f t="shared" si="0"/>
        <v>TEXT</v>
      </c>
      <c r="R45" s="78" t="str">
        <f t="shared" si="1"/>
        <v/>
      </c>
      <c r="S45" s="78" t="str">
        <f t="shared" si="5"/>
        <v/>
      </c>
      <c r="T45" s="78" t="str">
        <f t="shared" si="6"/>
        <v>-- 修飾語コード20</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milscm_2023_010.azn_202310_backup_merge_receiptd_sb.shushoku_code20 IS '修飾語コード20';</v>
      </c>
    </row>
    <row r="46" spans="1:45" s="25" customFormat="1">
      <c r="A46" s="4"/>
      <c r="B46" s="21">
        <f t="shared" si="2"/>
        <v>34</v>
      </c>
      <c r="C46" s="13" t="s">
        <v>1153</v>
      </c>
      <c r="D46" s="13" t="s">
        <v>1154</v>
      </c>
      <c r="E46" s="7"/>
      <c r="F46" s="7" t="s">
        <v>868</v>
      </c>
      <c r="G46" s="7" t="str">
        <f t="shared" si="3"/>
        <v>text</v>
      </c>
      <c r="H46" s="58"/>
      <c r="I46" s="23"/>
      <c r="J46" s="24"/>
      <c r="M46" s="4"/>
      <c r="N46" s="78"/>
      <c r="O46" s="78"/>
      <c r="P46" s="78" t="str">
        <f t="shared" si="4"/>
        <v>,shobyo_name</v>
      </c>
      <c r="Q46" s="78" t="str">
        <f t="shared" si="0"/>
        <v>TEXT</v>
      </c>
      <c r="R46" s="78" t="str">
        <f t="shared" si="1"/>
        <v/>
      </c>
      <c r="S46" s="78" t="str">
        <f t="shared" si="5"/>
        <v/>
      </c>
      <c r="T46" s="78" t="str">
        <f t="shared" si="6"/>
        <v>-- 傷病名称</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milscm_2023_010.azn_202310_backup_merge_receiptd_sb.shobyo_name IS '傷病名称';</v>
      </c>
    </row>
    <row r="47" spans="1:45" s="25" customFormat="1">
      <c r="A47" s="4"/>
      <c r="B47" s="21">
        <f t="shared" si="2"/>
        <v>35</v>
      </c>
      <c r="C47" s="13" t="s">
        <v>666</v>
      </c>
      <c r="D47" s="13" t="s">
        <v>874</v>
      </c>
      <c r="E47" s="7"/>
      <c r="F47" s="7" t="s">
        <v>868</v>
      </c>
      <c r="G47" s="7" t="str">
        <f t="shared" si="3"/>
        <v>text</v>
      </c>
      <c r="H47" s="58"/>
      <c r="I47" s="23"/>
      <c r="J47" s="24"/>
      <c r="M47" s="4"/>
      <c r="N47" s="78"/>
      <c r="O47" s="78"/>
      <c r="P47" s="78" t="str">
        <f t="shared" si="4"/>
        <v>,icd10_code</v>
      </c>
      <c r="Q47" s="78" t="str">
        <f t="shared" si="0"/>
        <v>TEXT</v>
      </c>
      <c r="R47" s="78" t="str">
        <f t="shared" si="1"/>
        <v/>
      </c>
      <c r="S47" s="78" t="str">
        <f t="shared" si="5"/>
        <v/>
      </c>
      <c r="T47" s="78" t="str">
        <f t="shared" si="6"/>
        <v>-- ICD10コード</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milscm_2023_010.azn_202310_backup_merge_receiptd_sb.icd10_code IS 'ICD10コード';</v>
      </c>
    </row>
    <row r="48" spans="1:45" s="25" customFormat="1">
      <c r="A48" s="4"/>
      <c r="B48" s="21">
        <f t="shared" si="2"/>
        <v>36</v>
      </c>
      <c r="C48" s="13" t="s">
        <v>1268</v>
      </c>
      <c r="D48" s="13" t="s">
        <v>1269</v>
      </c>
      <c r="E48" s="7"/>
      <c r="F48" s="7" t="s">
        <v>868</v>
      </c>
      <c r="G48" s="7" t="str">
        <f t="shared" si="3"/>
        <v>text</v>
      </c>
      <c r="H48" s="58"/>
      <c r="I48" s="23"/>
      <c r="J48" s="24"/>
      <c r="M48" s="4"/>
      <c r="N48" s="78"/>
      <c r="O48" s="78"/>
      <c r="P48" s="78" t="str">
        <f t="shared" si="4"/>
        <v>,shobyo_kubun</v>
      </c>
      <c r="Q48" s="78" t="str">
        <f t="shared" si="0"/>
        <v>TEXT</v>
      </c>
      <c r="R48" s="78" t="str">
        <f t="shared" si="1"/>
        <v/>
      </c>
      <c r="S48" s="78" t="str">
        <f t="shared" si="5"/>
        <v/>
      </c>
      <c r="T48" s="78" t="str">
        <f t="shared" si="6"/>
        <v>-- 傷病名区分</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milscm_2023_010.azn_202310_backup_merge_receiptd_sb.shobyo_kubun IS '傷病名区分';</v>
      </c>
    </row>
    <row r="49" spans="1:52" s="25" customFormat="1">
      <c r="A49" s="4"/>
      <c r="B49" s="21">
        <f t="shared" si="2"/>
        <v>37</v>
      </c>
      <c r="C49" s="13" t="s">
        <v>1261</v>
      </c>
      <c r="D49" s="13" t="s">
        <v>1262</v>
      </c>
      <c r="E49" s="7"/>
      <c r="F49" s="7" t="s">
        <v>868</v>
      </c>
      <c r="G49" s="7" t="str">
        <f t="shared" si="3"/>
        <v>text</v>
      </c>
      <c r="H49" s="58"/>
      <c r="I49" s="23"/>
      <c r="J49" s="24"/>
      <c r="M49" s="4"/>
      <c r="N49" s="78"/>
      <c r="O49" s="78"/>
      <c r="P49" s="78" t="str">
        <f t="shared" si="4"/>
        <v>,death_cause</v>
      </c>
      <c r="Q49" s="78" t="str">
        <f t="shared" si="0"/>
        <v>TEXT</v>
      </c>
      <c r="R49" s="78" t="str">
        <f t="shared" si="1"/>
        <v/>
      </c>
      <c r="S49" s="78" t="str">
        <f t="shared" si="5"/>
        <v/>
      </c>
      <c r="T49" s="78" t="str">
        <f t="shared" si="6"/>
        <v>-- 死因</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milscm_2023_010.azn_202310_backup_merge_receiptd_sb.death_cause IS '死因';</v>
      </c>
    </row>
    <row r="50" spans="1:52" s="25" customFormat="1" ht="19.5" thickBot="1">
      <c r="A50" s="4"/>
      <c r="B50" s="27">
        <f>ROW()-12</f>
        <v>38</v>
      </c>
      <c r="C50" s="57" t="s">
        <v>1157</v>
      </c>
      <c r="D50" s="57" t="s">
        <v>1158</v>
      </c>
      <c r="E50" s="56"/>
      <c r="F50" s="56" t="s">
        <v>868</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milscm_2023_010.azn_202310_backup_merge_receiptd_sb.hosoku_comment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700-000000000000}"/>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AZ7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ENT_01_C3-10</v>
      </c>
      <c r="E6" s="239"/>
      <c r="F6" s="239"/>
      <c r="G6" s="239"/>
      <c r="H6" s="239"/>
      <c r="I6" s="239"/>
      <c r="J6" s="240"/>
    </row>
    <row r="7" spans="1:45">
      <c r="B7" s="228" t="s">
        <v>115</v>
      </c>
      <c r="C7" s="229"/>
      <c r="D7" s="230" t="s">
        <v>1273</v>
      </c>
      <c r="E7" s="231"/>
      <c r="F7" s="231"/>
      <c r="G7" s="231"/>
      <c r="H7" s="231"/>
      <c r="I7" s="231"/>
      <c r="J7" s="232"/>
    </row>
    <row r="8" spans="1:45">
      <c r="B8" s="228" t="s">
        <v>116</v>
      </c>
      <c r="C8" s="229"/>
      <c r="D8" s="230" t="str">
        <f>エンティティ一覧!AE2&amp;"_"&amp;D5&amp;"_merge_receiptd_sy"</f>
        <v>azn_202310_backup_merge_receiptd_sy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milscm_2023_010.azn_202310_backup_merge_receiptd_sy;</v>
      </c>
      <c r="O10" s="78"/>
      <c r="P10" s="78"/>
      <c r="Q10" s="78"/>
      <c r="R10" s="78"/>
      <c r="S10" s="78"/>
      <c r="T10" s="78"/>
      <c r="AJ10" s="78" t="str">
        <f>"ALTER TABLE ONLY "&amp;エンティティ一覧!$O$2&amp;"."&amp;D$8</f>
        <v>ALTER TABLE ONLY milscm_2023_010.azn_202310_backup_merge_receiptd_sy</v>
      </c>
      <c r="AS10" s="78" t="str">
        <f>"ALTER TABLE "&amp;エンティティ一覧!$O$2&amp;"."&amp;D$8&amp;" OWNER TO pgmisgrp1;"</f>
        <v>ALTER TABLE milscm_2023_010.azn_202310_backup_merge_receiptd_sy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milscm_2023_010.azn_202310_backup_merge_receiptd_sy</v>
      </c>
      <c r="O11" s="78"/>
      <c r="P11" s="78"/>
      <c r="Q11" s="78"/>
      <c r="R11" s="78"/>
      <c r="S11" s="78"/>
      <c r="T11" s="78"/>
      <c r="AJ11" s="78" t="str">
        <f>"ADD CONSTRAINT "&amp;D$8&amp;"_pkey PRIMARY KEY"</f>
        <v>ADD CONSTRAINT azn_202310_backup_merge_receiptd_sy_pkey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milscm_2023_010.azn_202310_backup_merge_receiptd_sy IS 'バックアップ_DPCレセプト_傷病名レコード';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50" si="0">UPPER(G13)</f>
        <v>TEXT</v>
      </c>
      <c r="R13" s="78" t="str">
        <f t="shared" ref="R13:R5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milscm_2023_010.azn_202310_backup_merge_receiptd_sy.torikomi_ym IS '取込年月';</v>
      </c>
    </row>
    <row r="14" spans="1:45" s="25" customFormat="1">
      <c r="A14" s="4"/>
      <c r="B14" s="21">
        <f t="shared" ref="B14:B49" si="2">ROW()-12</f>
        <v>2</v>
      </c>
      <c r="C14" s="6" t="s">
        <v>203</v>
      </c>
      <c r="D14" s="6" t="s">
        <v>204</v>
      </c>
      <c r="E14" s="8"/>
      <c r="F14" s="7" t="s">
        <v>205</v>
      </c>
      <c r="G14" s="7" t="str">
        <f t="shared" ref="G14:G50" si="3">IF(F14="フラグ","boolean",IF(F14="文字列","text",IF(F14="整数","integer",IF(F14="実数","numeric",""))))</f>
        <v>integer</v>
      </c>
      <c r="H14" s="26"/>
      <c r="I14" s="10"/>
      <c r="J14" s="11" t="s">
        <v>258</v>
      </c>
      <c r="M14" s="4"/>
      <c r="N14" s="78"/>
      <c r="O14" s="78"/>
      <c r="P14" s="78" t="str">
        <f t="shared" ref="P14:P5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50" si="5">IF(I15="○","NOT NULL","")</f>
        <v>NOT NULL</v>
      </c>
      <c r="T15" s="78" t="str">
        <f t="shared" ref="T15:T5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milscm_2023_010.azn_202310_backup_merge_receiptd_sy.seikyu_ym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milscm_2023_010.azn_202310_backup_merge_receiptd_sy.shinryo_ym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milscm_2023_010.azn_202310_backup_merge_receiptd_sy.data_type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milscm_2023_010.azn_202310_backup_merge_receiptd_sy.shinsa_kikan IS '審査支払機関';</v>
      </c>
    </row>
    <row r="20" spans="1:45" s="25" customFormat="1">
      <c r="A20" s="4"/>
      <c r="B20" s="21">
        <f t="shared" si="2"/>
        <v>8</v>
      </c>
      <c r="C20" s="13" t="s">
        <v>953</v>
      </c>
      <c r="D20" s="13" t="s">
        <v>954</v>
      </c>
      <c r="E20" s="7"/>
      <c r="F20" s="7" t="s">
        <v>868</v>
      </c>
      <c r="G20" s="7" t="str">
        <f t="shared" si="3"/>
        <v>text</v>
      </c>
      <c r="H20" s="58" t="s">
        <v>1160</v>
      </c>
      <c r="I20" s="23" t="s">
        <v>127</v>
      </c>
      <c r="J20" s="24" t="s">
        <v>1161</v>
      </c>
      <c r="M20" s="4"/>
      <c r="N20" s="78"/>
      <c r="O20" s="78"/>
      <c r="P20" s="78" t="str">
        <f t="shared" si="4"/>
        <v>,record_shikibetsu</v>
      </c>
      <c r="Q20" s="78" t="str">
        <f t="shared" si="0"/>
        <v>TEXT</v>
      </c>
      <c r="R20" s="78" t="str">
        <f t="shared" si="1"/>
        <v>default 'SY'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milscm_2023_010.azn_202310_backup_merge_receiptd_sy.record_shikibetsu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milscm_2023_010.azn_202310_backup_merge_receiptd_sy.receipt_no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milscm_2023_010.azn_202310_backup_merge_receiptd_sy.gyo_no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milscm_2023_010.azn_202310_backup_merge_receiptd_sy.karute_no IS 'カルテ番号等';</v>
      </c>
    </row>
    <row r="24" spans="1:45" s="25" customFormat="1">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milscm_2023_010.azn_202310_backup_merge_receiptd_sy.receipt_sokatsu_kubun IS 'レセプト総括区分';</v>
      </c>
    </row>
    <row r="25" spans="1:45" s="25" customFormat="1">
      <c r="A25" s="4"/>
      <c r="B25" s="21">
        <f t="shared" si="2"/>
        <v>13</v>
      </c>
      <c r="C25" s="13" t="s">
        <v>668</v>
      </c>
      <c r="D25" s="13" t="s">
        <v>875</v>
      </c>
      <c r="E25" s="7"/>
      <c r="F25" s="7" t="s">
        <v>868</v>
      </c>
      <c r="G25" s="7" t="str">
        <f t="shared" si="3"/>
        <v>text</v>
      </c>
      <c r="H25" s="58"/>
      <c r="I25" s="23"/>
      <c r="J25" s="24"/>
      <c r="M25" s="4"/>
      <c r="N25" s="78"/>
      <c r="O25" s="78"/>
      <c r="P25" s="78" t="str">
        <f t="shared" si="4"/>
        <v>,shobyo_code</v>
      </c>
      <c r="Q25" s="78" t="str">
        <f t="shared" si="0"/>
        <v>TEXT</v>
      </c>
      <c r="R25" s="78" t="str">
        <f t="shared" si="1"/>
        <v/>
      </c>
      <c r="S25" s="78" t="str">
        <f t="shared" si="5"/>
        <v/>
      </c>
      <c r="T25" s="78" t="str">
        <f t="shared" si="6"/>
        <v>-- 傷病名コード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milscm_2023_010.azn_202310_backup_merge_receiptd_sy.shobyo_code IS '傷病名コード';</v>
      </c>
    </row>
    <row r="26" spans="1:45" s="25" customFormat="1" ht="75">
      <c r="A26" s="4"/>
      <c r="B26" s="21">
        <f t="shared" si="2"/>
        <v>14</v>
      </c>
      <c r="C26" s="13" t="s">
        <v>1117</v>
      </c>
      <c r="D26" s="13" t="s">
        <v>1118</v>
      </c>
      <c r="E26" s="7"/>
      <c r="F26" s="7" t="s">
        <v>868</v>
      </c>
      <c r="G26" s="7" t="str">
        <f t="shared" si="3"/>
        <v>text</v>
      </c>
      <c r="H26" s="58"/>
      <c r="I26" s="23"/>
      <c r="J26" s="24" t="s">
        <v>1111</v>
      </c>
      <c r="M26" s="4"/>
      <c r="N26" s="78"/>
      <c r="O26" s="78"/>
      <c r="P26" s="78" t="str">
        <f t="shared" si="4"/>
        <v>,shinryo_start_date</v>
      </c>
      <c r="Q26" s="78" t="str">
        <f t="shared" si="0"/>
        <v>TEXT</v>
      </c>
      <c r="R26" s="78" t="str">
        <f t="shared" si="1"/>
        <v/>
      </c>
      <c r="S26" s="78" t="str">
        <f t="shared" si="5"/>
        <v/>
      </c>
      <c r="T26" s="78" t="str">
        <f t="shared" si="6"/>
        <v>-- 診療開始日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milscm_2023_010.azn_202310_backup_merge_receiptd_sy.shinryo_start_date IS '診療開始日';</v>
      </c>
    </row>
    <row r="27" spans="1:45" s="25" customFormat="1">
      <c r="A27" s="4"/>
      <c r="B27" s="21">
        <f t="shared" si="2"/>
        <v>15</v>
      </c>
      <c r="C27" s="13" t="s">
        <v>1119</v>
      </c>
      <c r="D27" s="13" t="s">
        <v>1120</v>
      </c>
      <c r="E27" s="7"/>
      <c r="F27" s="7" t="s">
        <v>868</v>
      </c>
      <c r="G27" s="7" t="str">
        <f t="shared" si="3"/>
        <v>text</v>
      </c>
      <c r="H27" s="58"/>
      <c r="I27" s="23"/>
      <c r="J27" s="24"/>
      <c r="M27" s="4"/>
      <c r="N27" s="78"/>
      <c r="O27" s="78"/>
      <c r="P27" s="78" t="str">
        <f t="shared" si="4"/>
        <v>,tenki_kubun</v>
      </c>
      <c r="Q27" s="78" t="str">
        <f t="shared" si="0"/>
        <v>TEXT</v>
      </c>
      <c r="R27" s="78" t="str">
        <f t="shared" si="1"/>
        <v/>
      </c>
      <c r="S27" s="78" t="str">
        <f t="shared" si="5"/>
        <v/>
      </c>
      <c r="T27" s="78" t="str">
        <f t="shared" si="6"/>
        <v>-- 転帰区分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milscm_2023_010.azn_202310_backup_merge_receiptd_sy.tenki_kubun IS '転帰区分';</v>
      </c>
    </row>
    <row r="28" spans="1:45" s="25" customFormat="1">
      <c r="A28" s="4"/>
      <c r="B28" s="21">
        <f t="shared" si="2"/>
        <v>16</v>
      </c>
      <c r="C28" s="13" t="s">
        <v>670</v>
      </c>
      <c r="D28" s="13" t="s">
        <v>876</v>
      </c>
      <c r="E28" s="7"/>
      <c r="F28" s="7" t="s">
        <v>868</v>
      </c>
      <c r="G28" s="7" t="str">
        <f t="shared" si="3"/>
        <v>text</v>
      </c>
      <c r="H28" s="58"/>
      <c r="I28" s="23"/>
      <c r="J28" s="24" t="s">
        <v>1163</v>
      </c>
      <c r="M28" s="4"/>
      <c r="N28" s="78"/>
      <c r="O28" s="78"/>
      <c r="P28" s="78" t="str">
        <f t="shared" si="4"/>
        <v>,shushoku_code1</v>
      </c>
      <c r="Q28" s="78" t="str">
        <f t="shared" si="0"/>
        <v>TEXT</v>
      </c>
      <c r="R28" s="78" t="str">
        <f t="shared" si="1"/>
        <v/>
      </c>
      <c r="S28" s="78" t="str">
        <f t="shared" si="5"/>
        <v/>
      </c>
      <c r="T28" s="78" t="str">
        <f t="shared" si="6"/>
        <v>-- 修飾語コード1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milscm_2023_010.azn_202310_backup_merge_receiptd_sy.shushoku_code1 IS '修飾語コード1';</v>
      </c>
    </row>
    <row r="29" spans="1:45" s="25" customFormat="1">
      <c r="A29" s="4"/>
      <c r="B29" s="21">
        <f t="shared" si="2"/>
        <v>17</v>
      </c>
      <c r="C29" s="13" t="s">
        <v>672</v>
      </c>
      <c r="D29" s="13" t="s">
        <v>877</v>
      </c>
      <c r="E29" s="7"/>
      <c r="F29" s="7" t="s">
        <v>868</v>
      </c>
      <c r="G29" s="7" t="str">
        <f t="shared" si="3"/>
        <v>text</v>
      </c>
      <c r="H29" s="58"/>
      <c r="I29" s="23"/>
      <c r="J29" s="24"/>
      <c r="M29" s="4"/>
      <c r="N29" s="78"/>
      <c r="O29" s="78"/>
      <c r="P29" s="78" t="str">
        <f t="shared" si="4"/>
        <v>,shushoku_code2</v>
      </c>
      <c r="Q29" s="78" t="str">
        <f t="shared" si="0"/>
        <v>TEXT</v>
      </c>
      <c r="R29" s="78" t="str">
        <f t="shared" si="1"/>
        <v/>
      </c>
      <c r="S29" s="78" t="str">
        <f t="shared" si="5"/>
        <v/>
      </c>
      <c r="T29" s="78" t="str">
        <f t="shared" si="6"/>
        <v>-- 修飾語コード2</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milscm_2023_010.azn_202310_backup_merge_receiptd_sy.shushoku_code2 IS '修飾語コード2';</v>
      </c>
    </row>
    <row r="30" spans="1:45" s="25" customFormat="1">
      <c r="A30" s="4"/>
      <c r="B30" s="21">
        <f t="shared" si="2"/>
        <v>18</v>
      </c>
      <c r="C30" s="13" t="s">
        <v>674</v>
      </c>
      <c r="D30" s="13" t="s">
        <v>878</v>
      </c>
      <c r="E30" s="7"/>
      <c r="F30" s="7" t="s">
        <v>868</v>
      </c>
      <c r="G30" s="7" t="str">
        <f t="shared" si="3"/>
        <v>text</v>
      </c>
      <c r="H30" s="58"/>
      <c r="I30" s="23"/>
      <c r="J30" s="24"/>
      <c r="M30" s="4"/>
      <c r="N30" s="78"/>
      <c r="O30" s="78"/>
      <c r="P30" s="78" t="str">
        <f t="shared" si="4"/>
        <v>,shushoku_code3</v>
      </c>
      <c r="Q30" s="78" t="str">
        <f t="shared" si="0"/>
        <v>TEXT</v>
      </c>
      <c r="R30" s="78" t="str">
        <f t="shared" si="1"/>
        <v/>
      </c>
      <c r="S30" s="78" t="str">
        <f t="shared" si="5"/>
        <v/>
      </c>
      <c r="T30" s="78" t="str">
        <f t="shared" si="6"/>
        <v>-- 修飾語コード3</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milscm_2023_010.azn_202310_backup_merge_receiptd_sy.shushoku_code3 IS '修飾語コード3';</v>
      </c>
    </row>
    <row r="31" spans="1:45" s="25" customFormat="1">
      <c r="A31" s="4"/>
      <c r="B31" s="21">
        <f t="shared" si="2"/>
        <v>19</v>
      </c>
      <c r="C31" s="13" t="s">
        <v>676</v>
      </c>
      <c r="D31" s="13" t="s">
        <v>879</v>
      </c>
      <c r="E31" s="7"/>
      <c r="F31" s="7" t="s">
        <v>868</v>
      </c>
      <c r="G31" s="7" t="str">
        <f t="shared" si="3"/>
        <v>text</v>
      </c>
      <c r="H31" s="58"/>
      <c r="I31" s="23"/>
      <c r="J31" s="24"/>
      <c r="M31" s="4"/>
      <c r="N31" s="78"/>
      <c r="O31" s="78"/>
      <c r="P31" s="78" t="str">
        <f t="shared" si="4"/>
        <v>,shushoku_code4</v>
      </c>
      <c r="Q31" s="78" t="str">
        <f t="shared" si="0"/>
        <v>TEXT</v>
      </c>
      <c r="R31" s="78" t="str">
        <f t="shared" si="1"/>
        <v/>
      </c>
      <c r="S31" s="78" t="str">
        <f t="shared" si="5"/>
        <v/>
      </c>
      <c r="T31" s="78" t="str">
        <f t="shared" si="6"/>
        <v>-- 修飾語コード4</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milscm_2023_010.azn_202310_backup_merge_receiptd_sy.shushoku_code4 IS '修飾語コード4';</v>
      </c>
    </row>
    <row r="32" spans="1:45" s="25" customFormat="1">
      <c r="A32" s="4"/>
      <c r="B32" s="21">
        <f t="shared" si="2"/>
        <v>20</v>
      </c>
      <c r="C32" s="13" t="s">
        <v>1121</v>
      </c>
      <c r="D32" s="13" t="s">
        <v>1122</v>
      </c>
      <c r="E32" s="7"/>
      <c r="F32" s="7" t="s">
        <v>868</v>
      </c>
      <c r="G32" s="7" t="str">
        <f t="shared" si="3"/>
        <v>text</v>
      </c>
      <c r="H32" s="58"/>
      <c r="I32" s="23"/>
      <c r="J32" s="24"/>
      <c r="M32" s="4"/>
      <c r="N32" s="78"/>
      <c r="O32" s="78"/>
      <c r="P32" s="78" t="str">
        <f t="shared" si="4"/>
        <v>,shushoku_code5</v>
      </c>
      <c r="Q32" s="78" t="str">
        <f t="shared" si="0"/>
        <v>TEXT</v>
      </c>
      <c r="R32" s="78" t="str">
        <f t="shared" si="1"/>
        <v/>
      </c>
      <c r="S32" s="78" t="str">
        <f t="shared" si="5"/>
        <v/>
      </c>
      <c r="T32" s="78" t="str">
        <f t="shared" si="6"/>
        <v>-- 修飾語コード5</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milscm_2023_010.azn_202310_backup_merge_receiptd_sy.shushoku_code5 IS '修飾語コード5';</v>
      </c>
    </row>
    <row r="33" spans="1:45" s="25" customFormat="1">
      <c r="A33" s="4"/>
      <c r="B33" s="21">
        <f t="shared" si="2"/>
        <v>21</v>
      </c>
      <c r="C33" s="13" t="s">
        <v>1123</v>
      </c>
      <c r="D33" s="13" t="s">
        <v>1124</v>
      </c>
      <c r="E33" s="7"/>
      <c r="F33" s="7" t="s">
        <v>868</v>
      </c>
      <c r="G33" s="7" t="str">
        <f t="shared" si="3"/>
        <v>text</v>
      </c>
      <c r="H33" s="58"/>
      <c r="I33" s="23"/>
      <c r="J33" s="24"/>
      <c r="M33" s="4"/>
      <c r="N33" s="78"/>
      <c r="O33" s="78"/>
      <c r="P33" s="78" t="str">
        <f t="shared" si="4"/>
        <v>,shushoku_code6</v>
      </c>
      <c r="Q33" s="78" t="str">
        <f t="shared" si="0"/>
        <v>TEXT</v>
      </c>
      <c r="R33" s="78" t="str">
        <f t="shared" si="1"/>
        <v/>
      </c>
      <c r="S33" s="78" t="str">
        <f t="shared" si="5"/>
        <v/>
      </c>
      <c r="T33" s="78" t="str">
        <f t="shared" si="6"/>
        <v>-- 修飾語コード6</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milscm_2023_010.azn_202310_backup_merge_receiptd_sy.shushoku_code6 IS '修飾語コード6';</v>
      </c>
    </row>
    <row r="34" spans="1:45" s="25" customFormat="1">
      <c r="A34" s="4"/>
      <c r="B34" s="21">
        <f t="shared" si="2"/>
        <v>22</v>
      </c>
      <c r="C34" s="13" t="s">
        <v>1125</v>
      </c>
      <c r="D34" s="13" t="s">
        <v>1126</v>
      </c>
      <c r="E34" s="7"/>
      <c r="F34" s="7" t="s">
        <v>868</v>
      </c>
      <c r="G34" s="7" t="str">
        <f t="shared" si="3"/>
        <v>text</v>
      </c>
      <c r="H34" s="58"/>
      <c r="I34" s="23"/>
      <c r="J34" s="24"/>
      <c r="M34" s="4"/>
      <c r="N34" s="78"/>
      <c r="O34" s="78"/>
      <c r="P34" s="78" t="str">
        <f t="shared" si="4"/>
        <v>,shushoku_code7</v>
      </c>
      <c r="Q34" s="78" t="str">
        <f t="shared" si="0"/>
        <v>TEXT</v>
      </c>
      <c r="R34" s="78" t="str">
        <f t="shared" si="1"/>
        <v/>
      </c>
      <c r="S34" s="78" t="str">
        <f t="shared" si="5"/>
        <v/>
      </c>
      <c r="T34" s="78" t="str">
        <f t="shared" si="6"/>
        <v>-- 修飾語コード7</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milscm_2023_010.azn_202310_backup_merge_receiptd_sy.shushoku_code7 IS '修飾語コード7';</v>
      </c>
    </row>
    <row r="35" spans="1:45" s="25" customFormat="1">
      <c r="A35" s="4"/>
      <c r="B35" s="21">
        <f t="shared" si="2"/>
        <v>23</v>
      </c>
      <c r="C35" s="13" t="s">
        <v>1127</v>
      </c>
      <c r="D35" s="13" t="s">
        <v>1128</v>
      </c>
      <c r="E35" s="7"/>
      <c r="F35" s="7" t="s">
        <v>868</v>
      </c>
      <c r="G35" s="7" t="str">
        <f t="shared" si="3"/>
        <v>text</v>
      </c>
      <c r="H35" s="58"/>
      <c r="I35" s="23"/>
      <c r="J35" s="24"/>
      <c r="M35" s="4"/>
      <c r="N35" s="78"/>
      <c r="O35" s="78"/>
      <c r="P35" s="78" t="str">
        <f t="shared" si="4"/>
        <v>,shushoku_code8</v>
      </c>
      <c r="Q35" s="78" t="str">
        <f t="shared" si="0"/>
        <v>TEXT</v>
      </c>
      <c r="R35" s="78" t="str">
        <f t="shared" si="1"/>
        <v/>
      </c>
      <c r="S35" s="78" t="str">
        <f t="shared" si="5"/>
        <v/>
      </c>
      <c r="T35" s="78" t="str">
        <f t="shared" si="6"/>
        <v>-- 修飾語コード8</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milscm_2023_010.azn_202310_backup_merge_receiptd_sy.shushoku_code8 IS '修飾語コード8';</v>
      </c>
    </row>
    <row r="36" spans="1:45" s="25" customFormat="1">
      <c r="A36" s="4"/>
      <c r="B36" s="21">
        <f t="shared" si="2"/>
        <v>24</v>
      </c>
      <c r="C36" s="13" t="s">
        <v>1129</v>
      </c>
      <c r="D36" s="13" t="s">
        <v>1130</v>
      </c>
      <c r="E36" s="7"/>
      <c r="F36" s="7" t="s">
        <v>868</v>
      </c>
      <c r="G36" s="7" t="str">
        <f t="shared" si="3"/>
        <v>text</v>
      </c>
      <c r="H36" s="58"/>
      <c r="I36" s="23"/>
      <c r="J36" s="24"/>
      <c r="M36" s="4"/>
      <c r="N36" s="78"/>
      <c r="O36" s="78"/>
      <c r="P36" s="78" t="str">
        <f t="shared" si="4"/>
        <v>,shushoku_code9</v>
      </c>
      <c r="Q36" s="78" t="str">
        <f t="shared" si="0"/>
        <v>TEXT</v>
      </c>
      <c r="R36" s="78" t="str">
        <f t="shared" si="1"/>
        <v/>
      </c>
      <c r="S36" s="78" t="str">
        <f t="shared" si="5"/>
        <v/>
      </c>
      <c r="T36" s="78" t="str">
        <f t="shared" si="6"/>
        <v>-- 修飾語コード9</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milscm_2023_010.azn_202310_backup_merge_receiptd_sy.shushoku_code9 IS '修飾語コード9';</v>
      </c>
    </row>
    <row r="37" spans="1:45" s="25" customFormat="1">
      <c r="A37" s="4"/>
      <c r="B37" s="21">
        <f t="shared" si="2"/>
        <v>25</v>
      </c>
      <c r="C37" s="13" t="s">
        <v>1131</v>
      </c>
      <c r="D37" s="13" t="s">
        <v>1132</v>
      </c>
      <c r="E37" s="7"/>
      <c r="F37" s="7" t="s">
        <v>868</v>
      </c>
      <c r="G37" s="7" t="str">
        <f t="shared" si="3"/>
        <v>text</v>
      </c>
      <c r="H37" s="58"/>
      <c r="I37" s="23"/>
      <c r="J37" s="24"/>
      <c r="M37" s="4"/>
      <c r="N37" s="78"/>
      <c r="O37" s="78"/>
      <c r="P37" s="78" t="str">
        <f t="shared" si="4"/>
        <v>,shushoku_code10</v>
      </c>
      <c r="Q37" s="78" t="str">
        <f t="shared" si="0"/>
        <v>TEXT</v>
      </c>
      <c r="R37" s="78" t="str">
        <f t="shared" si="1"/>
        <v/>
      </c>
      <c r="S37" s="78" t="str">
        <f t="shared" si="5"/>
        <v/>
      </c>
      <c r="T37" s="78" t="str">
        <f t="shared" si="6"/>
        <v>-- 修飾語コード10</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milscm_2023_010.azn_202310_backup_merge_receiptd_sy.shushoku_code10 IS '修飾語コード10';</v>
      </c>
    </row>
    <row r="38" spans="1:45" s="25" customFormat="1">
      <c r="A38" s="4"/>
      <c r="B38" s="21">
        <f t="shared" si="2"/>
        <v>26</v>
      </c>
      <c r="C38" s="13" t="s">
        <v>1133</v>
      </c>
      <c r="D38" s="13" t="s">
        <v>1134</v>
      </c>
      <c r="E38" s="7"/>
      <c r="F38" s="7" t="s">
        <v>868</v>
      </c>
      <c r="G38" s="7" t="str">
        <f t="shared" si="3"/>
        <v>text</v>
      </c>
      <c r="H38" s="58"/>
      <c r="I38" s="23"/>
      <c r="J38" s="24"/>
      <c r="M38" s="4"/>
      <c r="N38" s="78"/>
      <c r="O38" s="78"/>
      <c r="P38" s="78" t="str">
        <f t="shared" si="4"/>
        <v>,shushoku_code11</v>
      </c>
      <c r="Q38" s="78" t="str">
        <f t="shared" si="0"/>
        <v>TEXT</v>
      </c>
      <c r="R38" s="78" t="str">
        <f t="shared" si="1"/>
        <v/>
      </c>
      <c r="S38" s="78" t="str">
        <f t="shared" si="5"/>
        <v/>
      </c>
      <c r="T38" s="78" t="str">
        <f t="shared" si="6"/>
        <v>-- 修飾語コード11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milscm_2023_010.azn_202310_backup_merge_receiptd_sy.shushoku_code11 IS '修飾語コード11';</v>
      </c>
    </row>
    <row r="39" spans="1:45" s="25" customFormat="1">
      <c r="A39" s="4"/>
      <c r="B39" s="21">
        <f t="shared" si="2"/>
        <v>27</v>
      </c>
      <c r="C39" s="13" t="s">
        <v>1135</v>
      </c>
      <c r="D39" s="13" t="s">
        <v>1136</v>
      </c>
      <c r="E39" s="7"/>
      <c r="F39" s="7" t="s">
        <v>868</v>
      </c>
      <c r="G39" s="7" t="str">
        <f t="shared" si="3"/>
        <v>text</v>
      </c>
      <c r="H39" s="58"/>
      <c r="I39" s="23"/>
      <c r="J39" s="24"/>
      <c r="M39" s="4"/>
      <c r="N39" s="78"/>
      <c r="O39" s="78"/>
      <c r="P39" s="78" t="str">
        <f t="shared" si="4"/>
        <v>,shushoku_code12</v>
      </c>
      <c r="Q39" s="78" t="str">
        <f t="shared" si="0"/>
        <v>TEXT</v>
      </c>
      <c r="R39" s="78" t="str">
        <f t="shared" si="1"/>
        <v/>
      </c>
      <c r="S39" s="78" t="str">
        <f t="shared" si="5"/>
        <v/>
      </c>
      <c r="T39" s="78" t="str">
        <f t="shared" si="6"/>
        <v>-- 修飾語コード12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milscm_2023_010.azn_202310_backup_merge_receiptd_sy.shushoku_code12 IS '修飾語コード12';</v>
      </c>
    </row>
    <row r="40" spans="1:45" s="25" customFormat="1">
      <c r="A40" s="4"/>
      <c r="B40" s="21">
        <f t="shared" si="2"/>
        <v>28</v>
      </c>
      <c r="C40" s="13" t="s">
        <v>1137</v>
      </c>
      <c r="D40" s="13" t="s">
        <v>1138</v>
      </c>
      <c r="E40" s="7"/>
      <c r="F40" s="7" t="s">
        <v>868</v>
      </c>
      <c r="G40" s="7" t="str">
        <f t="shared" si="3"/>
        <v>text</v>
      </c>
      <c r="H40" s="58"/>
      <c r="I40" s="23"/>
      <c r="J40" s="24"/>
      <c r="M40" s="4"/>
      <c r="N40" s="78"/>
      <c r="O40" s="78"/>
      <c r="P40" s="78" t="str">
        <f t="shared" si="4"/>
        <v>,shushoku_code13</v>
      </c>
      <c r="Q40" s="78" t="str">
        <f t="shared" si="0"/>
        <v>TEXT</v>
      </c>
      <c r="R40" s="78" t="str">
        <f t="shared" si="1"/>
        <v/>
      </c>
      <c r="S40" s="78" t="str">
        <f t="shared" si="5"/>
        <v/>
      </c>
      <c r="T40" s="78" t="str">
        <f t="shared" si="6"/>
        <v>-- 修飾語コード13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milscm_2023_010.azn_202310_backup_merge_receiptd_sy.shushoku_code13 IS '修飾語コード13';</v>
      </c>
    </row>
    <row r="41" spans="1:45" s="25" customFormat="1">
      <c r="A41" s="4"/>
      <c r="B41" s="21">
        <f t="shared" si="2"/>
        <v>29</v>
      </c>
      <c r="C41" s="13" t="s">
        <v>1139</v>
      </c>
      <c r="D41" s="13" t="s">
        <v>1140</v>
      </c>
      <c r="E41" s="7"/>
      <c r="F41" s="7" t="s">
        <v>868</v>
      </c>
      <c r="G41" s="7" t="str">
        <f t="shared" si="3"/>
        <v>text</v>
      </c>
      <c r="H41" s="58"/>
      <c r="I41" s="23"/>
      <c r="J41" s="24"/>
      <c r="M41" s="4"/>
      <c r="N41" s="78"/>
      <c r="O41" s="78"/>
      <c r="P41" s="78" t="str">
        <f t="shared" si="4"/>
        <v>,shushoku_code14</v>
      </c>
      <c r="Q41" s="78" t="str">
        <f t="shared" si="0"/>
        <v>TEXT</v>
      </c>
      <c r="R41" s="78" t="str">
        <f t="shared" si="1"/>
        <v/>
      </c>
      <c r="S41" s="78" t="str">
        <f t="shared" si="5"/>
        <v/>
      </c>
      <c r="T41" s="78" t="str">
        <f t="shared" si="6"/>
        <v>-- 修飾語コード14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milscm_2023_010.azn_202310_backup_merge_receiptd_sy.shushoku_code14 IS '修飾語コード14';</v>
      </c>
    </row>
    <row r="42" spans="1:45" s="25" customFormat="1">
      <c r="A42" s="4"/>
      <c r="B42" s="21">
        <f t="shared" si="2"/>
        <v>30</v>
      </c>
      <c r="C42" s="13" t="s">
        <v>1141</v>
      </c>
      <c r="D42" s="13" t="s">
        <v>1142</v>
      </c>
      <c r="E42" s="7"/>
      <c r="F42" s="7" t="s">
        <v>868</v>
      </c>
      <c r="G42" s="7" t="str">
        <f t="shared" si="3"/>
        <v>text</v>
      </c>
      <c r="H42" s="58"/>
      <c r="I42" s="23"/>
      <c r="J42" s="24"/>
      <c r="M42" s="4"/>
      <c r="N42" s="78"/>
      <c r="O42" s="78"/>
      <c r="P42" s="78" t="str">
        <f t="shared" si="4"/>
        <v>,shushoku_code15</v>
      </c>
      <c r="Q42" s="78" t="str">
        <f t="shared" si="0"/>
        <v>TEXT</v>
      </c>
      <c r="R42" s="78" t="str">
        <f t="shared" si="1"/>
        <v/>
      </c>
      <c r="S42" s="78" t="str">
        <f t="shared" si="5"/>
        <v/>
      </c>
      <c r="T42" s="78" t="str">
        <f t="shared" si="6"/>
        <v>-- 修飾語コード15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milscm_2023_010.azn_202310_backup_merge_receiptd_sy.shushoku_code15 IS '修飾語コード15';</v>
      </c>
    </row>
    <row r="43" spans="1:45" s="25" customFormat="1">
      <c r="A43" s="4"/>
      <c r="B43" s="21">
        <f t="shared" si="2"/>
        <v>31</v>
      </c>
      <c r="C43" s="13" t="s">
        <v>1143</v>
      </c>
      <c r="D43" s="13" t="s">
        <v>1144</v>
      </c>
      <c r="E43" s="7"/>
      <c r="F43" s="7" t="s">
        <v>868</v>
      </c>
      <c r="G43" s="7" t="str">
        <f t="shared" si="3"/>
        <v>text</v>
      </c>
      <c r="H43" s="58"/>
      <c r="I43" s="23"/>
      <c r="J43" s="24"/>
      <c r="M43" s="4"/>
      <c r="N43" s="78"/>
      <c r="O43" s="78"/>
      <c r="P43" s="78" t="str">
        <f t="shared" si="4"/>
        <v>,shushoku_code16</v>
      </c>
      <c r="Q43" s="78" t="str">
        <f t="shared" si="0"/>
        <v>TEXT</v>
      </c>
      <c r="R43" s="78" t="str">
        <f t="shared" si="1"/>
        <v/>
      </c>
      <c r="S43" s="78" t="str">
        <f t="shared" si="5"/>
        <v/>
      </c>
      <c r="T43" s="78" t="str">
        <f t="shared" si="6"/>
        <v>-- 修飾語コード16</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milscm_2023_010.azn_202310_backup_merge_receiptd_sy.shushoku_code16 IS '修飾語コード16';</v>
      </c>
    </row>
    <row r="44" spans="1:45" s="25" customFormat="1">
      <c r="A44" s="4"/>
      <c r="B44" s="21">
        <f t="shared" si="2"/>
        <v>32</v>
      </c>
      <c r="C44" s="13" t="s">
        <v>1145</v>
      </c>
      <c r="D44" s="13" t="s">
        <v>1146</v>
      </c>
      <c r="E44" s="7"/>
      <c r="F44" s="7" t="s">
        <v>868</v>
      </c>
      <c r="G44" s="7" t="str">
        <f t="shared" si="3"/>
        <v>text</v>
      </c>
      <c r="H44" s="58"/>
      <c r="I44" s="23"/>
      <c r="J44" s="24"/>
      <c r="M44" s="4"/>
      <c r="N44" s="78"/>
      <c r="O44" s="78"/>
      <c r="P44" s="78" t="str">
        <f t="shared" si="4"/>
        <v>,shushoku_code17</v>
      </c>
      <c r="Q44" s="78" t="str">
        <f t="shared" si="0"/>
        <v>TEXT</v>
      </c>
      <c r="R44" s="78" t="str">
        <f t="shared" si="1"/>
        <v/>
      </c>
      <c r="S44" s="78" t="str">
        <f t="shared" si="5"/>
        <v/>
      </c>
      <c r="T44" s="78" t="str">
        <f t="shared" si="6"/>
        <v>-- 修飾語コード17</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milscm_2023_010.azn_202310_backup_merge_receiptd_sy.shushoku_code17 IS '修飾語コード17';</v>
      </c>
    </row>
    <row r="45" spans="1:45" s="25" customFormat="1">
      <c r="A45" s="4"/>
      <c r="B45" s="21">
        <f t="shared" si="2"/>
        <v>33</v>
      </c>
      <c r="C45" s="13" t="s">
        <v>1147</v>
      </c>
      <c r="D45" s="13" t="s">
        <v>1148</v>
      </c>
      <c r="E45" s="7"/>
      <c r="F45" s="7" t="s">
        <v>868</v>
      </c>
      <c r="G45" s="7" t="str">
        <f t="shared" si="3"/>
        <v>text</v>
      </c>
      <c r="H45" s="58"/>
      <c r="I45" s="23"/>
      <c r="J45" s="24"/>
      <c r="M45" s="4"/>
      <c r="N45" s="78"/>
      <c r="O45" s="78"/>
      <c r="P45" s="78" t="str">
        <f t="shared" si="4"/>
        <v>,shushoku_code18</v>
      </c>
      <c r="Q45" s="78" t="str">
        <f t="shared" si="0"/>
        <v>TEXT</v>
      </c>
      <c r="R45" s="78" t="str">
        <f t="shared" si="1"/>
        <v/>
      </c>
      <c r="S45" s="78" t="str">
        <f t="shared" si="5"/>
        <v/>
      </c>
      <c r="T45" s="78" t="str">
        <f t="shared" si="6"/>
        <v>-- 修飾語コード18</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milscm_2023_010.azn_202310_backup_merge_receiptd_sy.shushoku_code18 IS '修飾語コード18';</v>
      </c>
    </row>
    <row r="46" spans="1:45" s="25" customFormat="1">
      <c r="A46" s="4"/>
      <c r="B46" s="21">
        <f t="shared" si="2"/>
        <v>34</v>
      </c>
      <c r="C46" s="13" t="s">
        <v>1149</v>
      </c>
      <c r="D46" s="13" t="s">
        <v>1150</v>
      </c>
      <c r="E46" s="7"/>
      <c r="F46" s="7" t="s">
        <v>868</v>
      </c>
      <c r="G46" s="7" t="str">
        <f t="shared" si="3"/>
        <v>text</v>
      </c>
      <c r="H46" s="58"/>
      <c r="I46" s="23"/>
      <c r="J46" s="24"/>
      <c r="M46" s="4"/>
      <c r="N46" s="78"/>
      <c r="O46" s="78"/>
      <c r="P46" s="78" t="str">
        <f t="shared" si="4"/>
        <v>,shushoku_code19</v>
      </c>
      <c r="Q46" s="78" t="str">
        <f t="shared" si="0"/>
        <v>TEXT</v>
      </c>
      <c r="R46" s="78" t="str">
        <f t="shared" si="1"/>
        <v/>
      </c>
      <c r="S46" s="78" t="str">
        <f t="shared" si="5"/>
        <v/>
      </c>
      <c r="T46" s="78" t="str">
        <f t="shared" si="6"/>
        <v>-- 修飾語コード19</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milscm_2023_010.azn_202310_backup_merge_receiptd_sy.shushoku_code19 IS '修飾語コード19';</v>
      </c>
    </row>
    <row r="47" spans="1:45" s="25" customFormat="1">
      <c r="A47" s="4"/>
      <c r="B47" s="21">
        <f t="shared" si="2"/>
        <v>35</v>
      </c>
      <c r="C47" s="13" t="s">
        <v>1151</v>
      </c>
      <c r="D47" s="13" t="s">
        <v>1152</v>
      </c>
      <c r="E47" s="7"/>
      <c r="F47" s="7" t="s">
        <v>868</v>
      </c>
      <c r="G47" s="7" t="str">
        <f t="shared" si="3"/>
        <v>text</v>
      </c>
      <c r="H47" s="58"/>
      <c r="I47" s="23"/>
      <c r="J47" s="24"/>
      <c r="M47" s="4"/>
      <c r="N47" s="78"/>
      <c r="O47" s="78"/>
      <c r="P47" s="78" t="str">
        <f t="shared" si="4"/>
        <v>,shushoku_code20</v>
      </c>
      <c r="Q47" s="78" t="str">
        <f t="shared" si="0"/>
        <v>TEXT</v>
      </c>
      <c r="R47" s="78" t="str">
        <f t="shared" si="1"/>
        <v/>
      </c>
      <c r="S47" s="78" t="str">
        <f t="shared" si="5"/>
        <v/>
      </c>
      <c r="T47" s="78" t="str">
        <f t="shared" si="6"/>
        <v>-- 修飾語コード20</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milscm_2023_010.azn_202310_backup_merge_receiptd_sy.shushoku_code20 IS '修飾語コード20';</v>
      </c>
    </row>
    <row r="48" spans="1:45" s="25" customFormat="1">
      <c r="A48" s="4"/>
      <c r="B48" s="21">
        <f t="shared" si="2"/>
        <v>36</v>
      </c>
      <c r="C48" s="13" t="s">
        <v>1153</v>
      </c>
      <c r="D48" s="13" t="s">
        <v>1154</v>
      </c>
      <c r="E48" s="7"/>
      <c r="F48" s="7" t="s">
        <v>868</v>
      </c>
      <c r="G48" s="7" t="str">
        <f t="shared" si="3"/>
        <v>text</v>
      </c>
      <c r="H48" s="58"/>
      <c r="I48" s="23"/>
      <c r="J48" s="24"/>
      <c r="M48" s="4"/>
      <c r="N48" s="78"/>
      <c r="O48" s="78"/>
      <c r="P48" s="78" t="str">
        <f t="shared" si="4"/>
        <v>,shobyo_name</v>
      </c>
      <c r="Q48" s="78" t="str">
        <f t="shared" si="0"/>
        <v>TEXT</v>
      </c>
      <c r="R48" s="78" t="str">
        <f t="shared" si="1"/>
        <v/>
      </c>
      <c r="S48" s="78" t="str">
        <f t="shared" si="5"/>
        <v/>
      </c>
      <c r="T48" s="78" t="str">
        <f t="shared" si="6"/>
        <v>-- 傷病名称</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milscm_2023_010.azn_202310_backup_merge_receiptd_sy.shobyo_name IS '傷病名称';</v>
      </c>
    </row>
    <row r="49" spans="1:52" s="25" customFormat="1">
      <c r="A49" s="4"/>
      <c r="B49" s="21">
        <f t="shared" si="2"/>
        <v>37</v>
      </c>
      <c r="C49" s="13" t="s">
        <v>1155</v>
      </c>
      <c r="D49" s="13" t="s">
        <v>1156</v>
      </c>
      <c r="E49" s="7"/>
      <c r="F49" s="7" t="s">
        <v>868</v>
      </c>
      <c r="G49" s="7" t="str">
        <f t="shared" si="3"/>
        <v>text</v>
      </c>
      <c r="H49" s="58"/>
      <c r="I49" s="23"/>
      <c r="J49" s="24"/>
      <c r="M49" s="4"/>
      <c r="N49" s="78"/>
      <c r="O49" s="78"/>
      <c r="P49" s="78" t="str">
        <f t="shared" si="4"/>
        <v>,main_shobyo_code</v>
      </c>
      <c r="Q49" s="78" t="str">
        <f t="shared" si="0"/>
        <v>TEXT</v>
      </c>
      <c r="R49" s="78" t="str">
        <f t="shared" si="1"/>
        <v/>
      </c>
      <c r="S49" s="78" t="str">
        <f t="shared" si="5"/>
        <v/>
      </c>
      <c r="T49" s="78" t="str">
        <f t="shared" si="6"/>
        <v>-- 主傷病</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milscm_2023_010.azn_202310_backup_merge_receiptd_sy.main_shobyo_code IS '主傷病';</v>
      </c>
    </row>
    <row r="50" spans="1:52" s="25" customFormat="1" ht="19.5" thickBot="1">
      <c r="A50" s="4"/>
      <c r="B50" s="27">
        <f>ROW()-12</f>
        <v>38</v>
      </c>
      <c r="C50" s="57" t="s">
        <v>1157</v>
      </c>
      <c r="D50" s="57" t="s">
        <v>1158</v>
      </c>
      <c r="E50" s="56"/>
      <c r="F50" s="56" t="s">
        <v>868</v>
      </c>
      <c r="G50" s="56" t="str">
        <f t="shared" si="3"/>
        <v>text</v>
      </c>
      <c r="H50" s="59"/>
      <c r="I50" s="60"/>
      <c r="J50" s="64"/>
      <c r="N50" s="78"/>
      <c r="O50" s="78"/>
      <c r="P50" s="78" t="str">
        <f t="shared" si="4"/>
        <v>,hosoku_comment</v>
      </c>
      <c r="Q50" s="78" t="str">
        <f t="shared" si="0"/>
        <v>TEXT</v>
      </c>
      <c r="R50" s="78" t="str">
        <f t="shared" si="1"/>
        <v/>
      </c>
      <c r="S50" s="78" t="str">
        <f t="shared" si="5"/>
        <v/>
      </c>
      <c r="T50" s="78" t="str">
        <f t="shared" si="6"/>
        <v>-- 補足コメント</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milscm_2023_010.azn_202310_backup_merge_receiptd_sy.hosoku_comment IS '補足コメント';</v>
      </c>
    </row>
    <row r="51" spans="1:52">
      <c r="L51" s="25"/>
      <c r="M51" s="25"/>
      <c r="N51" s="78" t="s">
        <v>142</v>
      </c>
      <c r="O51" s="78"/>
      <c r="P51" s="78"/>
      <c r="Q51" s="78"/>
      <c r="R51" s="78"/>
      <c r="S51" s="78"/>
      <c r="T51" s="78"/>
      <c r="V51" s="25"/>
      <c r="W51" s="25"/>
      <c r="X51" s="25"/>
      <c r="Y51" s="25"/>
      <c r="Z51" s="25"/>
      <c r="AJ51" s="78"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800-000000000000}"/>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ENT_01_C3-16</v>
      </c>
      <c r="E6" s="239"/>
      <c r="F6" s="239"/>
      <c r="G6" s="239"/>
      <c r="H6" s="239"/>
      <c r="I6" s="239"/>
      <c r="J6" s="240"/>
    </row>
    <row r="7" spans="1:45">
      <c r="B7" s="228" t="s">
        <v>115</v>
      </c>
      <c r="C7" s="229"/>
      <c r="D7" s="230" t="s">
        <v>1275</v>
      </c>
      <c r="E7" s="231"/>
      <c r="F7" s="231"/>
      <c r="G7" s="231"/>
      <c r="H7" s="231"/>
      <c r="I7" s="231"/>
      <c r="J7" s="232"/>
    </row>
    <row r="8" spans="1:45">
      <c r="B8" s="228" t="s">
        <v>116</v>
      </c>
      <c r="C8" s="229"/>
      <c r="D8" s="230" t="str">
        <f>エンティティ一覧!AE2&amp;"_"&amp;D5&amp;"_merge_receiptd_si"</f>
        <v>azn_202310_backup_merge_receiptd_si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milscm_2023_010.azn_202310_backup_merge_receiptd_si;</v>
      </c>
      <c r="O10" s="78"/>
      <c r="P10" s="78"/>
      <c r="Q10" s="78"/>
      <c r="R10" s="78"/>
      <c r="S10" s="78"/>
      <c r="T10" s="78"/>
      <c r="AJ10" s="78" t="str">
        <f>"ALTER TABLE ONLY "&amp;エンティティ一覧!$O$2&amp;"."&amp;D$8</f>
        <v>ALTER TABLE ONLY milscm_2023_010.azn_202310_backup_merge_receiptd_si</v>
      </c>
      <c r="AS10" s="78" t="str">
        <f>"ALTER TABLE "&amp;エンティティ一覧!$O$2&amp;"."&amp;D$8&amp;" OWNER TO pgmisgrp1;"</f>
        <v>ALTER TABLE milscm_2023_010.azn_202310_backup_merge_receiptd_si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milscm_2023_010.azn_202310_backup_merge_receiptd_si</v>
      </c>
      <c r="O11" s="78"/>
      <c r="P11" s="78"/>
      <c r="Q11" s="78"/>
      <c r="R11" s="78"/>
      <c r="S11" s="78"/>
      <c r="T11" s="78"/>
      <c r="AJ11" s="78" t="str">
        <f>"ADD CONSTRAINT "&amp;D$8&amp;"_pkey PRIMARY KEY"</f>
        <v>ADD CONSTRAINT azn_202310_backup_merge_receiptd_si_pkey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milscm_2023_010.azn_202310_backup_merge_receiptd_si IS 'バックアップ_DPCレセプト_診療行為レコード';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milscm_2023_010.azn_202310_backup_merge_receiptd_si.torikomi_ym IS '取込年月';</v>
      </c>
    </row>
    <row r="14" spans="1:45" s="25" customFormat="1">
      <c r="A14" s="4"/>
      <c r="B14" s="21">
        <f t="shared" ref="B14:B35" si="2">ROW()-12</f>
        <v>2</v>
      </c>
      <c r="C14" s="6" t="s">
        <v>203</v>
      </c>
      <c r="D14" s="6" t="s">
        <v>204</v>
      </c>
      <c r="E14" s="8"/>
      <c r="F14" s="7" t="s">
        <v>205</v>
      </c>
      <c r="G14" s="7" t="str">
        <f t="shared" ref="G14:G36" si="3">IF(F14="フラグ","boolean",IF(F14="文字列","text",IF(F14="整数","integer",IF(F14="実数","numeric",""))))</f>
        <v>integer</v>
      </c>
      <c r="H14" s="26"/>
      <c r="I14" s="10"/>
      <c r="J14" s="11" t="s">
        <v>258</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milscm_2023_010.azn_202310_backup_merge_receiptd_si.mil_karute_id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milscm_2023_010.azn_202310_backup_merge_receiptd_si.facility_id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milscm_2023_010.azn_202310_backup_merge_receiptd_si.seikyu_ym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milscm_2023_010.azn_202310_backup_merge_receiptd_si.shinryo_ym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milscm_2023_010.azn_202310_backup_merge_receiptd_si.data_type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milscm_2023_010.azn_202310_backup_merge_receiptd_si.shinsa_kikan IS '審査支払機関';</v>
      </c>
    </row>
    <row r="20" spans="1:45" s="25" customFormat="1">
      <c r="A20" s="4"/>
      <c r="B20" s="21">
        <f t="shared" si="2"/>
        <v>8</v>
      </c>
      <c r="C20" s="13" t="s">
        <v>953</v>
      </c>
      <c r="D20" s="13" t="s">
        <v>954</v>
      </c>
      <c r="E20" s="7"/>
      <c r="F20" s="7" t="s">
        <v>868</v>
      </c>
      <c r="G20" s="7" t="str">
        <f t="shared" si="3"/>
        <v>text</v>
      </c>
      <c r="H20" s="58" t="s">
        <v>1190</v>
      </c>
      <c r="I20" s="23" t="s">
        <v>127</v>
      </c>
      <c r="J20" s="24" t="s">
        <v>1191</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milscm_2023_010.azn_202310_backup_merge_receiptd_si.record_shikibetsu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milscm_2023_010.azn_202310_backup_merge_receiptd_si.receipt_no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milscm_2023_010.azn_202310_backup_merge_receiptd_si.gyo_no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milscm_2023_010.azn_202310_backup_merge_receiptd_si.karute_no IS 'カルテ番号等';</v>
      </c>
    </row>
    <row r="24" spans="1:45" s="25" customFormat="1">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milscm_2023_010.azn_202310_backup_merge_receiptd_si.receipt_sokatsu_kubun IS 'レセプト総括区分';</v>
      </c>
    </row>
    <row r="25" spans="1:45" s="25" customFormat="1">
      <c r="A25" s="4"/>
      <c r="B25" s="21">
        <f t="shared" si="2"/>
        <v>13</v>
      </c>
      <c r="C25" s="13" t="s">
        <v>1166</v>
      </c>
      <c r="D25" s="13" t="s">
        <v>1167</v>
      </c>
      <c r="E25" s="7"/>
      <c r="F25" s="7" t="s">
        <v>868</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milscm_2023_010.azn_202310_backup_merge_receiptd_si.shinryo_shikibetsu IS '診療識別';</v>
      </c>
    </row>
    <row r="26" spans="1:45" s="25" customFormat="1">
      <c r="A26" s="4"/>
      <c r="B26" s="21">
        <f t="shared" si="2"/>
        <v>14</v>
      </c>
      <c r="C26" s="13" t="s">
        <v>1168</v>
      </c>
      <c r="D26" s="13" t="s">
        <v>1169</v>
      </c>
      <c r="E26" s="7"/>
      <c r="F26" s="7" t="s">
        <v>868</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milscm_2023_010.azn_202310_backup_merge_receiptd_si.futan_kubun IS '負担区分';</v>
      </c>
    </row>
    <row r="27" spans="1:45" s="25" customFormat="1">
      <c r="A27" s="4"/>
      <c r="B27" s="21">
        <f t="shared" si="2"/>
        <v>15</v>
      </c>
      <c r="C27" s="13" t="s">
        <v>1170</v>
      </c>
      <c r="D27" s="13" t="s">
        <v>1171</v>
      </c>
      <c r="E27" s="7"/>
      <c r="F27" s="7" t="s">
        <v>868</v>
      </c>
      <c r="G27" s="7" t="str">
        <f t="shared" si="3"/>
        <v>text</v>
      </c>
      <c r="H27" s="58"/>
      <c r="I27" s="23"/>
      <c r="J27" s="24"/>
      <c r="M27" s="4"/>
      <c r="N27" s="78"/>
      <c r="O27" s="78"/>
      <c r="P27" s="78" t="str">
        <f t="shared" si="4"/>
        <v>,shinryo_koi_code</v>
      </c>
      <c r="Q27" s="78" t="str">
        <f t="shared" si="0"/>
        <v>TEXT</v>
      </c>
      <c r="R27" s="78" t="str">
        <f t="shared" si="1"/>
        <v/>
      </c>
      <c r="S27" s="78" t="str">
        <f t="shared" si="5"/>
        <v/>
      </c>
      <c r="T27" s="78" t="str">
        <f t="shared" si="6"/>
        <v>-- 診療行為コード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milscm_2023_010.azn_202310_backup_merge_receiptd_si.shinryo_koi_code IS '診療行為コード';</v>
      </c>
    </row>
    <row r="28" spans="1:45" s="25" customFormat="1">
      <c r="A28" s="4"/>
      <c r="B28" s="21">
        <f t="shared" si="2"/>
        <v>16</v>
      </c>
      <c r="C28" s="13" t="s">
        <v>1172</v>
      </c>
      <c r="D28" s="13" t="s">
        <v>1173</v>
      </c>
      <c r="E28" s="7"/>
      <c r="F28" s="7" t="s">
        <v>205</v>
      </c>
      <c r="G28" s="7" t="str">
        <f t="shared" si="3"/>
        <v>integer</v>
      </c>
      <c r="H28" s="58"/>
      <c r="I28" s="23"/>
      <c r="J28" s="24"/>
      <c r="M28" s="4"/>
      <c r="N28" s="78"/>
      <c r="O28" s="78"/>
      <c r="P28" s="78" t="str">
        <f t="shared" si="4"/>
        <v>,suryo_data</v>
      </c>
      <c r="Q28" s="78" t="str">
        <f t="shared" si="0"/>
        <v>INTEGER</v>
      </c>
      <c r="R28" s="78" t="str">
        <f t="shared" si="1"/>
        <v/>
      </c>
      <c r="S28" s="78" t="str">
        <f t="shared" si="5"/>
        <v/>
      </c>
      <c r="T28" s="78" t="str">
        <f t="shared" si="6"/>
        <v>-- 数量データ</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milscm_2023_010.azn_202310_backup_merge_receiptd_si.suryo_data IS '数量データ';</v>
      </c>
    </row>
    <row r="29" spans="1:45" s="25" customFormat="1">
      <c r="A29" s="4"/>
      <c r="B29" s="21">
        <f t="shared" si="2"/>
        <v>17</v>
      </c>
      <c r="C29" s="13" t="s">
        <v>1174</v>
      </c>
      <c r="D29" s="13" t="s">
        <v>1175</v>
      </c>
      <c r="E29" s="7"/>
      <c r="F29" s="7" t="s">
        <v>205</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milscm_2023_010.azn_202310_backup_merge_receiptd_si.tensu IS '点数';</v>
      </c>
    </row>
    <row r="30" spans="1:45" s="25" customFormat="1">
      <c r="A30" s="4"/>
      <c r="B30" s="21">
        <f t="shared" si="2"/>
        <v>18</v>
      </c>
      <c r="C30" s="13" t="s">
        <v>1176</v>
      </c>
      <c r="D30" s="13" t="s">
        <v>1177</v>
      </c>
      <c r="E30" s="7"/>
      <c r="F30" s="7" t="s">
        <v>205</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milscm_2023_010.azn_202310_backup_merge_receiptd_si.times IS '回数';</v>
      </c>
    </row>
    <row r="31" spans="1:45" s="25" customFormat="1">
      <c r="A31" s="4"/>
      <c r="B31" s="21">
        <f t="shared" si="2"/>
        <v>19</v>
      </c>
      <c r="C31" s="13" t="s">
        <v>1178</v>
      </c>
      <c r="D31" s="13" t="s">
        <v>1179</v>
      </c>
      <c r="E31" s="7"/>
      <c r="F31" s="7" t="s">
        <v>868</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milscm_2023_010.azn_202310_backup_merge_receiptd_si.comment_code1 IS 'コメントコード1';</v>
      </c>
    </row>
    <row r="32" spans="1:45" s="25" customFormat="1">
      <c r="A32" s="4"/>
      <c r="B32" s="21">
        <f t="shared" si="2"/>
        <v>20</v>
      </c>
      <c r="C32" s="13" t="s">
        <v>1180</v>
      </c>
      <c r="D32" s="13" t="s">
        <v>1181</v>
      </c>
      <c r="E32" s="7"/>
      <c r="F32" s="7" t="s">
        <v>868</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milscm_2023_010.azn_202310_backup_merge_receiptd_si.comment_data1 IS '文字データ1';</v>
      </c>
    </row>
    <row r="33" spans="1:52" s="25" customFormat="1">
      <c r="A33" s="4"/>
      <c r="B33" s="21">
        <f t="shared" si="2"/>
        <v>21</v>
      </c>
      <c r="C33" s="13" t="s">
        <v>1182</v>
      </c>
      <c r="D33" s="13" t="s">
        <v>1183</v>
      </c>
      <c r="E33" s="7"/>
      <c r="F33" s="7" t="s">
        <v>868</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milscm_2023_010.azn_202310_backup_merge_receiptd_si.comment_code2 IS 'コメントコード2';</v>
      </c>
    </row>
    <row r="34" spans="1:52" s="25" customFormat="1">
      <c r="A34" s="4"/>
      <c r="B34" s="21">
        <f t="shared" si="2"/>
        <v>22</v>
      </c>
      <c r="C34" s="13" t="s">
        <v>1184</v>
      </c>
      <c r="D34" s="13" t="s">
        <v>1185</v>
      </c>
      <c r="E34" s="7"/>
      <c r="F34" s="7" t="s">
        <v>868</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milscm_2023_010.azn_202310_backup_merge_receiptd_si.comment_data2 IS '文字データ2';</v>
      </c>
    </row>
    <row r="35" spans="1:52" s="25" customFormat="1">
      <c r="A35" s="4"/>
      <c r="B35" s="21">
        <f t="shared" si="2"/>
        <v>23</v>
      </c>
      <c r="C35" s="13" t="s">
        <v>1186</v>
      </c>
      <c r="D35" s="13" t="s">
        <v>1187</v>
      </c>
      <c r="E35" s="7"/>
      <c r="F35" s="7" t="s">
        <v>868</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milscm_2023_010.azn_202310_backup_merge_receiptd_si.comment_code3 IS 'コメントコード3';</v>
      </c>
    </row>
    <row r="36" spans="1:52" s="25" customFormat="1" ht="19.5" thickBot="1">
      <c r="A36" s="4"/>
      <c r="B36" s="27">
        <f>ROW()-12</f>
        <v>24</v>
      </c>
      <c r="C36" s="57" t="s">
        <v>1188</v>
      </c>
      <c r="D36" s="57" t="s">
        <v>1189</v>
      </c>
      <c r="E36" s="56"/>
      <c r="F36" s="56" t="s">
        <v>868</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milscm_2023_010.azn_202310_backup_merge_receiptd_si.comment_data3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900-000000000000}"/>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ENT_01_C3-17</v>
      </c>
      <c r="E6" s="239"/>
      <c r="F6" s="239"/>
      <c r="G6" s="239"/>
      <c r="H6" s="239"/>
      <c r="I6" s="239"/>
      <c r="J6" s="240"/>
    </row>
    <row r="7" spans="1:45">
      <c r="B7" s="228" t="s">
        <v>115</v>
      </c>
      <c r="C7" s="229"/>
      <c r="D7" s="230" t="s">
        <v>1277</v>
      </c>
      <c r="E7" s="231"/>
      <c r="F7" s="231"/>
      <c r="G7" s="231"/>
      <c r="H7" s="231"/>
      <c r="I7" s="231"/>
      <c r="J7" s="232"/>
    </row>
    <row r="8" spans="1:45">
      <c r="B8" s="228" t="s">
        <v>116</v>
      </c>
      <c r="C8" s="229"/>
      <c r="D8" s="230" t="str">
        <f>エンティティ一覧!AE2&amp;"_"&amp;D5&amp;"_merge_receiptd_si_day"</f>
        <v>azn_202310_backup_merge_receiptd_si_day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milscm_2023_010.azn_202310_backup_merge_receiptd_si_day;</v>
      </c>
      <c r="O10" s="78"/>
      <c r="P10" s="78"/>
      <c r="Q10" s="78"/>
      <c r="R10" s="78"/>
      <c r="S10" s="78"/>
      <c r="T10" s="78"/>
      <c r="AJ10" s="78" t="str">
        <f>"ALTER TABLE ONLY "&amp;エンティティ一覧!$O$2&amp;"."&amp;D$8</f>
        <v>ALTER TABLE ONLY milscm_2023_010.azn_202310_backup_merge_receiptd_si_day</v>
      </c>
      <c r="AS10" s="78" t="str">
        <f>"ALTER TABLE "&amp;エンティティ一覧!$O$2&amp;"."&amp;D$8&amp;" OWNER TO pgmisgrp1;"</f>
        <v>ALTER TABLE milscm_2023_010.azn_202310_backup_merge_receiptd_si_day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milscm_2023_010.azn_202310_backup_merge_receiptd_si_day</v>
      </c>
      <c r="O11" s="78"/>
      <c r="P11" s="78"/>
      <c r="Q11" s="78"/>
      <c r="R11" s="78"/>
      <c r="S11" s="78"/>
      <c r="T11" s="78"/>
      <c r="AJ11" s="78" t="str">
        <f>"ADD CONSTRAINT "&amp;D$8&amp;"_pkey PRIMARY KEY"</f>
        <v>ADD CONSTRAINT azn_202310_backup_merge_receiptd_si_day_pkey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milscm_2023_010.azn_202310_backup_merge_receiptd_si_day IS 'バックアップ_DPCレセプト_診療行為レコード_算定日情報';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milscm_2023_010.azn_202310_backup_merge_receiptd_si_day.torikomi_ym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258</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milscm_2023_010.azn_202310_backup_merge_receiptd_si_day.mil_karute_id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milscm_2023_010.azn_202310_backup_merge_receiptd_si_day.facility_id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milscm_2023_010.azn_202310_backup_merge_receiptd_si_day.seikyu_ym IS '請求年月';</v>
      </c>
    </row>
    <row r="17" spans="1:52"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milscm_2023_010.azn_202310_backup_merge_receiptd_si_day.shinryo_ym IS '診療年月';</v>
      </c>
    </row>
    <row r="18" spans="1:52"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milscm_2023_010.azn_202310_backup_merge_receiptd_si_day.data_type IS 'データ種別';</v>
      </c>
    </row>
    <row r="19" spans="1:52"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milscm_2023_010.azn_202310_backup_merge_receiptd_si_day.shinsa_kikan IS '審査支払機関';</v>
      </c>
    </row>
    <row r="20" spans="1:52" s="25" customFormat="1">
      <c r="A20" s="4"/>
      <c r="B20" s="21">
        <f t="shared" si="2"/>
        <v>8</v>
      </c>
      <c r="C20" s="13" t="s">
        <v>953</v>
      </c>
      <c r="D20" s="13" t="s">
        <v>954</v>
      </c>
      <c r="E20" s="7"/>
      <c r="F20" s="7" t="s">
        <v>868</v>
      </c>
      <c r="G20" s="7" t="str">
        <f t="shared" si="3"/>
        <v>text</v>
      </c>
      <c r="H20" s="58" t="s">
        <v>1190</v>
      </c>
      <c r="I20" s="23" t="s">
        <v>127</v>
      </c>
      <c r="J20" s="24" t="s">
        <v>1191</v>
      </c>
      <c r="M20" s="4"/>
      <c r="N20" s="78"/>
      <c r="O20" s="78"/>
      <c r="P20" s="78" t="str">
        <f t="shared" si="4"/>
        <v>,record_shikibetsu</v>
      </c>
      <c r="Q20" s="78" t="str">
        <f t="shared" si="0"/>
        <v>TEXT</v>
      </c>
      <c r="R20" s="78" t="str">
        <f t="shared" si="1"/>
        <v>default 'SI'</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milscm_2023_010.azn_202310_backup_merge_receiptd_si_day.record_shikibetsu IS 'レコード識別情報';</v>
      </c>
    </row>
    <row r="21" spans="1:52"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milscm_2023_010.azn_202310_backup_merge_receiptd_si_day.receipt_no IS 'レセプト番号';</v>
      </c>
    </row>
    <row r="22" spans="1:52" s="25" customFormat="1">
      <c r="A22" s="4"/>
      <c r="B22" s="21">
        <f t="shared" si="2"/>
        <v>10</v>
      </c>
      <c r="C22" s="13" t="s">
        <v>957</v>
      </c>
      <c r="D22" s="13" t="s">
        <v>958</v>
      </c>
      <c r="E22" s="7" t="s">
        <v>127</v>
      </c>
      <c r="F22" s="7" t="s">
        <v>205</v>
      </c>
      <c r="G22" s="7" t="str">
        <f t="shared" si="3"/>
        <v>integer</v>
      </c>
      <c r="H22" s="58"/>
      <c r="I22" s="23" t="s">
        <v>127</v>
      </c>
      <c r="J22" s="24" t="s">
        <v>1162</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milscm_2023_010.azn_202310_backup_merge_receiptd_si_day.gyo_no IS '行番号';</v>
      </c>
    </row>
    <row r="23" spans="1:52"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milscm_2023_010.azn_202310_backup_merge_receiptd_si_day.karute_no IS 'カルテ番号等';</v>
      </c>
    </row>
    <row r="24" spans="1:52" s="25" customFormat="1">
      <c r="A24" s="4"/>
      <c r="B24" s="21">
        <f t="shared" si="2"/>
        <v>12</v>
      </c>
      <c r="C24" s="13" t="s">
        <v>1243</v>
      </c>
      <c r="D24" s="13" t="s">
        <v>1244</v>
      </c>
      <c r="E24" s="7"/>
      <c r="F24" s="7" t="s">
        <v>868</v>
      </c>
      <c r="G24" s="7" t="str">
        <f t="shared" si="3"/>
        <v>text</v>
      </c>
      <c r="H24" s="58"/>
      <c r="I24" s="23"/>
      <c r="J24" s="24" t="s">
        <v>1278</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milscm_2023_010.azn_202310_backup_merge_receiptd_si_day.receipt_sokatsu_kubun IS 'レセプト総括区分';</v>
      </c>
    </row>
    <row r="25" spans="1:52" s="25" customFormat="1">
      <c r="A25" s="4"/>
      <c r="B25" s="21">
        <f t="shared" si="2"/>
        <v>13</v>
      </c>
      <c r="C25" s="13" t="s">
        <v>1194</v>
      </c>
      <c r="D25" s="13" t="s">
        <v>1195</v>
      </c>
      <c r="E25" s="7" t="s">
        <v>127</v>
      </c>
      <c r="F25" s="7" t="s">
        <v>868</v>
      </c>
      <c r="G25" s="7" t="str">
        <f t="shared" si="3"/>
        <v>text</v>
      </c>
      <c r="H25" s="58"/>
      <c r="I25" s="23" t="s">
        <v>127</v>
      </c>
      <c r="J25" s="24" t="s">
        <v>1197</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milscm_2023_010.azn_202310_backup_merge_receiptd_si_day.santei_ymd IS '算定日';</v>
      </c>
    </row>
    <row r="26" spans="1:52" s="25" customFormat="1" ht="19.5" thickBot="1">
      <c r="A26" s="4"/>
      <c r="B26" s="27">
        <f>ROW()-12</f>
        <v>14</v>
      </c>
      <c r="C26" s="57" t="s">
        <v>1196</v>
      </c>
      <c r="D26" s="57" t="s">
        <v>1177</v>
      </c>
      <c r="E26" s="56"/>
      <c r="F26" s="56" t="s">
        <v>205</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milscm_2023_010.azn_202310_backup_merge_receiptd_si_day.times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A00-000000000000}"/>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AZ5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ENT_01_C3-18</v>
      </c>
      <c r="E6" s="239"/>
      <c r="F6" s="239"/>
      <c r="G6" s="239"/>
      <c r="H6" s="239"/>
      <c r="I6" s="239"/>
      <c r="J6" s="240"/>
    </row>
    <row r="7" spans="1:45">
      <c r="B7" s="228" t="s">
        <v>115</v>
      </c>
      <c r="C7" s="229"/>
      <c r="D7" s="230" t="s">
        <v>1280</v>
      </c>
      <c r="E7" s="231"/>
      <c r="F7" s="231"/>
      <c r="G7" s="231"/>
      <c r="H7" s="231"/>
      <c r="I7" s="231"/>
      <c r="J7" s="232"/>
    </row>
    <row r="8" spans="1:45">
      <c r="B8" s="228" t="s">
        <v>116</v>
      </c>
      <c r="C8" s="229"/>
      <c r="D8" s="230" t="str">
        <f>エンティティ一覧!AE2&amp;"_"&amp;D5&amp;"_merge_receiptd_iy"</f>
        <v>azn_202310_backup_merge_receiptd_iy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milscm_2023_010.azn_202310_backup_merge_receiptd_iy;</v>
      </c>
      <c r="O10" s="78"/>
      <c r="P10" s="78"/>
      <c r="Q10" s="78"/>
      <c r="R10" s="78"/>
      <c r="S10" s="78"/>
      <c r="T10" s="78"/>
      <c r="AJ10" s="78" t="str">
        <f>"ALTER TABLE ONLY "&amp;エンティティ一覧!$O$2&amp;"."&amp;D$8</f>
        <v>ALTER TABLE ONLY milscm_2023_010.azn_202310_backup_merge_receiptd_iy</v>
      </c>
      <c r="AS10" s="78" t="str">
        <f>"ALTER TABLE "&amp;エンティティ一覧!$O$2&amp;"."&amp;D$8&amp;" OWNER TO pgmisgrp1;"</f>
        <v>ALTER TABLE milscm_2023_010.azn_202310_backup_merge_receiptd_iy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milscm_2023_010.azn_202310_backup_merge_receiptd_iy</v>
      </c>
      <c r="O11" s="78"/>
      <c r="P11" s="78"/>
      <c r="Q11" s="78"/>
      <c r="R11" s="78"/>
      <c r="S11" s="78"/>
      <c r="T11" s="78"/>
      <c r="AJ11" s="78" t="str">
        <f>"ADD CONSTRAINT "&amp;D$8&amp;"_pkey PRIMARY KEY"</f>
        <v>ADD CONSTRAINT azn_202310_backup_merge_receiptd_iy_pkey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milscm_2023_010.azn_202310_backup_merge_receiptd_iy IS 'バックアップ_DPCレセプト_医薬品レコード';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6" si="0">UPPER(G13)</f>
        <v>TEXT</v>
      </c>
      <c r="R13" s="78" t="str">
        <f t="shared" ref="R13:R3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milscm_2023_010.azn_202310_backup_merge_receiptd_iy.torikomi_ym IS '取込年月';</v>
      </c>
    </row>
    <row r="14" spans="1:45" s="25" customFormat="1">
      <c r="A14" s="4"/>
      <c r="B14" s="21">
        <f t="shared" ref="B14:B35" si="2">ROW()-12</f>
        <v>2</v>
      </c>
      <c r="C14" s="6" t="s">
        <v>203</v>
      </c>
      <c r="D14" s="6" t="s">
        <v>204</v>
      </c>
      <c r="E14" s="8"/>
      <c r="F14" s="7" t="s">
        <v>205</v>
      </c>
      <c r="G14" s="7" t="str">
        <f t="shared" ref="G14:G36" si="3">IF(F14="フラグ","boolean",IF(F14="文字列","text",IF(F14="整数","integer",IF(F14="実数","numeric",""))))</f>
        <v>integer</v>
      </c>
      <c r="H14" s="26"/>
      <c r="I14" s="10"/>
      <c r="J14" s="11" t="s">
        <v>258</v>
      </c>
      <c r="M14" s="4"/>
      <c r="N14" s="78"/>
      <c r="O14" s="78"/>
      <c r="P14" s="78" t="str">
        <f t="shared" ref="P14:P3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36" si="5">IF(I15="○","NOT NULL","")</f>
        <v>NOT NULL</v>
      </c>
      <c r="T15" s="78" t="str">
        <f t="shared" ref="T15:T3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milscm_2023_010.azn_202310_backup_merge_receiptd_iy.seikyu_ym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milscm_2023_010.azn_202310_backup_merge_receiptd_iy.shinryo_ym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milscm_2023_010.azn_202310_backup_merge_receiptd_iy.data_type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milscm_2023_010.azn_202310_backup_merge_receiptd_iy.shinsa_kikan IS '審査支払機関';</v>
      </c>
    </row>
    <row r="20" spans="1:45" s="25" customFormat="1">
      <c r="A20" s="4"/>
      <c r="B20" s="21">
        <f t="shared" si="2"/>
        <v>8</v>
      </c>
      <c r="C20" s="13" t="s">
        <v>953</v>
      </c>
      <c r="D20" s="13" t="s">
        <v>954</v>
      </c>
      <c r="E20" s="7"/>
      <c r="F20" s="7" t="s">
        <v>868</v>
      </c>
      <c r="G20" s="7" t="str">
        <f t="shared" si="3"/>
        <v>text</v>
      </c>
      <c r="H20" s="58" t="s">
        <v>1206</v>
      </c>
      <c r="I20" s="23" t="s">
        <v>127</v>
      </c>
      <c r="J20" s="24" t="s">
        <v>1207</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milscm_2023_010.azn_202310_backup_merge_receiptd_iy.record_shikibetsu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milscm_2023_010.azn_202310_backup_merge_receiptd_iy.receipt_no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milscm_2023_010.azn_202310_backup_merge_receiptd_iy.gyo_no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milscm_2023_010.azn_202310_backup_merge_receiptd_iy.karute_no IS 'カルテ番号等';</v>
      </c>
    </row>
    <row r="24" spans="1:45" s="25" customFormat="1">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milscm_2023_010.azn_202310_backup_merge_receiptd_iy.receipt_sokatsu_kubun IS 'レセプト総括区分';</v>
      </c>
    </row>
    <row r="25" spans="1:45" s="25" customFormat="1">
      <c r="A25" s="4"/>
      <c r="B25" s="21">
        <f t="shared" si="2"/>
        <v>13</v>
      </c>
      <c r="C25" s="13" t="s">
        <v>1166</v>
      </c>
      <c r="D25" s="13" t="s">
        <v>1167</v>
      </c>
      <c r="E25" s="7"/>
      <c r="F25" s="7" t="s">
        <v>868</v>
      </c>
      <c r="G25" s="7" t="str">
        <f t="shared" si="3"/>
        <v>text</v>
      </c>
      <c r="H25" s="58"/>
      <c r="I25" s="23"/>
      <c r="J25" s="24"/>
      <c r="M25" s="4"/>
      <c r="N25" s="78"/>
      <c r="O25" s="78"/>
      <c r="P25" s="78" t="str">
        <f t="shared" si="4"/>
        <v>,shinryo_shikibetsu</v>
      </c>
      <c r="Q25" s="78" t="str">
        <f t="shared" si="0"/>
        <v>TEXT</v>
      </c>
      <c r="R25" s="78" t="str">
        <f t="shared" si="1"/>
        <v/>
      </c>
      <c r="S25" s="78" t="str">
        <f t="shared" si="5"/>
        <v/>
      </c>
      <c r="T25" s="78" t="str">
        <f t="shared" si="6"/>
        <v>-- 診療識別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milscm_2023_010.azn_202310_backup_merge_receiptd_iy.shinryo_shikibetsu IS '診療識別';</v>
      </c>
    </row>
    <row r="26" spans="1:45" s="25" customFormat="1">
      <c r="A26" s="4"/>
      <c r="B26" s="21">
        <f t="shared" si="2"/>
        <v>14</v>
      </c>
      <c r="C26" s="13" t="s">
        <v>1168</v>
      </c>
      <c r="D26" s="13" t="s">
        <v>1169</v>
      </c>
      <c r="E26" s="7"/>
      <c r="F26" s="7" t="s">
        <v>868</v>
      </c>
      <c r="G26" s="7" t="str">
        <f t="shared" si="3"/>
        <v>text</v>
      </c>
      <c r="H26" s="58"/>
      <c r="I26" s="23"/>
      <c r="J26" s="24"/>
      <c r="M26" s="4"/>
      <c r="N26" s="78"/>
      <c r="O26" s="78"/>
      <c r="P26" s="78" t="str">
        <f t="shared" si="4"/>
        <v>,futan_kubun</v>
      </c>
      <c r="Q26" s="78" t="str">
        <f t="shared" si="0"/>
        <v>TEXT</v>
      </c>
      <c r="R26" s="78" t="str">
        <f t="shared" si="1"/>
        <v/>
      </c>
      <c r="S26" s="78" t="str">
        <f t="shared" si="5"/>
        <v/>
      </c>
      <c r="T26" s="78" t="str">
        <f t="shared" si="6"/>
        <v>-- 負担区分</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milscm_2023_010.azn_202310_backup_merge_receiptd_iy.futan_kubun IS '負担区分';</v>
      </c>
    </row>
    <row r="27" spans="1:45" s="25" customFormat="1">
      <c r="A27" s="4"/>
      <c r="B27" s="21">
        <f t="shared" si="2"/>
        <v>15</v>
      </c>
      <c r="C27" s="13" t="s">
        <v>1202</v>
      </c>
      <c r="D27" s="13" t="s">
        <v>1203</v>
      </c>
      <c r="E27" s="7"/>
      <c r="F27" s="7" t="s">
        <v>868</v>
      </c>
      <c r="G27" s="7" t="str">
        <f t="shared" si="3"/>
        <v>text</v>
      </c>
      <c r="H27" s="58"/>
      <c r="I27" s="23"/>
      <c r="J27" s="24"/>
      <c r="M27" s="4"/>
      <c r="N27" s="78"/>
      <c r="O27" s="78"/>
      <c r="P27" s="78" t="str">
        <f t="shared" si="4"/>
        <v>,iyakuhin_code</v>
      </c>
      <c r="Q27" s="78" t="str">
        <f t="shared" si="0"/>
        <v>TEXT</v>
      </c>
      <c r="R27" s="78" t="str">
        <f t="shared" si="1"/>
        <v/>
      </c>
      <c r="S27" s="78" t="str">
        <f t="shared" si="5"/>
        <v/>
      </c>
      <c r="T27" s="78" t="str">
        <f t="shared" si="6"/>
        <v>-- 医薬品コード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milscm_2023_010.azn_202310_backup_merge_receiptd_iy.iyakuhin_code IS '医薬品コード';</v>
      </c>
    </row>
    <row r="28" spans="1:45" s="25" customFormat="1" ht="37.5">
      <c r="A28" s="4"/>
      <c r="B28" s="21">
        <f t="shared" si="2"/>
        <v>16</v>
      </c>
      <c r="C28" s="13" t="s">
        <v>1204</v>
      </c>
      <c r="D28" s="13" t="s">
        <v>129</v>
      </c>
      <c r="E28" s="7"/>
      <c r="F28" s="7" t="s">
        <v>1205</v>
      </c>
      <c r="G28" s="7" t="str">
        <f t="shared" si="3"/>
        <v>numeric</v>
      </c>
      <c r="H28" s="58"/>
      <c r="I28" s="23"/>
      <c r="J28" s="24" t="s">
        <v>1208</v>
      </c>
      <c r="M28" s="4"/>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milscm_2023_010.azn_202310_backup_merge_receiptd_iy.shiyoryo IS '使用量';</v>
      </c>
    </row>
    <row r="29" spans="1:45" s="25" customFormat="1">
      <c r="A29" s="4"/>
      <c r="B29" s="21">
        <f t="shared" si="2"/>
        <v>17</v>
      </c>
      <c r="C29" s="13" t="s">
        <v>1174</v>
      </c>
      <c r="D29" s="13" t="s">
        <v>1175</v>
      </c>
      <c r="E29" s="7"/>
      <c r="F29" s="7" t="s">
        <v>205</v>
      </c>
      <c r="G29" s="7" t="str">
        <f t="shared" si="3"/>
        <v>integer</v>
      </c>
      <c r="H29" s="58"/>
      <c r="I29" s="23"/>
      <c r="J29" s="24"/>
      <c r="M29" s="4"/>
      <c r="N29" s="78"/>
      <c r="O29" s="78"/>
      <c r="P29" s="78" t="str">
        <f t="shared" si="4"/>
        <v>,tensu</v>
      </c>
      <c r="Q29" s="78" t="str">
        <f t="shared" si="0"/>
        <v>INTEGER</v>
      </c>
      <c r="R29" s="78" t="str">
        <f t="shared" si="1"/>
        <v/>
      </c>
      <c r="S29" s="78" t="str">
        <f t="shared" si="5"/>
        <v/>
      </c>
      <c r="T29" s="78" t="str">
        <f t="shared" si="6"/>
        <v>-- 点数</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milscm_2023_010.azn_202310_backup_merge_receiptd_iy.tensu IS '点数';</v>
      </c>
    </row>
    <row r="30" spans="1:45" s="25" customFormat="1">
      <c r="A30" s="4"/>
      <c r="B30" s="21">
        <f t="shared" si="2"/>
        <v>18</v>
      </c>
      <c r="C30" s="13" t="s">
        <v>1176</v>
      </c>
      <c r="D30" s="13" t="s">
        <v>1177</v>
      </c>
      <c r="E30" s="7"/>
      <c r="F30" s="7" t="s">
        <v>205</v>
      </c>
      <c r="G30" s="7" t="str">
        <f t="shared" si="3"/>
        <v>integer</v>
      </c>
      <c r="H30" s="58"/>
      <c r="I30" s="23"/>
      <c r="J30" s="24"/>
      <c r="M30" s="4"/>
      <c r="N30" s="78"/>
      <c r="O30" s="78"/>
      <c r="P30" s="78" t="str">
        <f t="shared" si="4"/>
        <v>,times</v>
      </c>
      <c r="Q30" s="78" t="str">
        <f t="shared" si="0"/>
        <v>INTEGER</v>
      </c>
      <c r="R30" s="78" t="str">
        <f t="shared" si="1"/>
        <v/>
      </c>
      <c r="S30" s="78" t="str">
        <f t="shared" si="5"/>
        <v/>
      </c>
      <c r="T30" s="78" t="str">
        <f t="shared" si="6"/>
        <v>-- 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milscm_2023_010.azn_202310_backup_merge_receiptd_iy.times IS '回数';</v>
      </c>
    </row>
    <row r="31" spans="1:45" s="25" customFormat="1">
      <c r="A31" s="4"/>
      <c r="B31" s="21">
        <f t="shared" si="2"/>
        <v>19</v>
      </c>
      <c r="C31" s="13" t="s">
        <v>1178</v>
      </c>
      <c r="D31" s="13" t="s">
        <v>1179</v>
      </c>
      <c r="E31" s="7"/>
      <c r="F31" s="7" t="s">
        <v>868</v>
      </c>
      <c r="G31" s="7" t="str">
        <f t="shared" si="3"/>
        <v>text</v>
      </c>
      <c r="H31" s="58"/>
      <c r="I31" s="23"/>
      <c r="J31" s="24"/>
      <c r="M31" s="4"/>
      <c r="N31" s="78"/>
      <c r="O31" s="78"/>
      <c r="P31" s="78" t="str">
        <f t="shared" si="4"/>
        <v>,comment_code1</v>
      </c>
      <c r="Q31" s="78" t="str">
        <f t="shared" si="0"/>
        <v>TEXT</v>
      </c>
      <c r="R31" s="78" t="str">
        <f t="shared" si="1"/>
        <v/>
      </c>
      <c r="S31" s="78" t="str">
        <f t="shared" si="5"/>
        <v/>
      </c>
      <c r="T31" s="78" t="str">
        <f t="shared" si="6"/>
        <v>-- コメントコード1</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milscm_2023_010.azn_202310_backup_merge_receiptd_iy.comment_code1 IS 'コメントコード1';</v>
      </c>
    </row>
    <row r="32" spans="1:45" s="25" customFormat="1">
      <c r="A32" s="4"/>
      <c r="B32" s="21">
        <f t="shared" si="2"/>
        <v>20</v>
      </c>
      <c r="C32" s="13" t="s">
        <v>1180</v>
      </c>
      <c r="D32" s="13" t="s">
        <v>1181</v>
      </c>
      <c r="E32" s="7"/>
      <c r="F32" s="7" t="s">
        <v>868</v>
      </c>
      <c r="G32" s="7" t="str">
        <f t="shared" si="3"/>
        <v>text</v>
      </c>
      <c r="H32" s="58"/>
      <c r="I32" s="23"/>
      <c r="J32" s="24"/>
      <c r="M32" s="4"/>
      <c r="N32" s="78"/>
      <c r="O32" s="78"/>
      <c r="P32" s="78" t="str">
        <f t="shared" si="4"/>
        <v>,comment_data1</v>
      </c>
      <c r="Q32" s="78" t="str">
        <f t="shared" si="0"/>
        <v>TEXT</v>
      </c>
      <c r="R32" s="78" t="str">
        <f t="shared" si="1"/>
        <v/>
      </c>
      <c r="S32" s="78" t="str">
        <f t="shared" si="5"/>
        <v/>
      </c>
      <c r="T32" s="78" t="str">
        <f t="shared" si="6"/>
        <v>-- 文字データ1</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milscm_2023_010.azn_202310_backup_merge_receiptd_iy.comment_data1 IS '文字データ1';</v>
      </c>
    </row>
    <row r="33" spans="1:52" s="25" customFormat="1">
      <c r="A33" s="4"/>
      <c r="B33" s="21">
        <f t="shared" si="2"/>
        <v>21</v>
      </c>
      <c r="C33" s="13" t="s">
        <v>1182</v>
      </c>
      <c r="D33" s="13" t="s">
        <v>1183</v>
      </c>
      <c r="E33" s="7"/>
      <c r="F33" s="7" t="s">
        <v>868</v>
      </c>
      <c r="G33" s="7" t="str">
        <f t="shared" si="3"/>
        <v>text</v>
      </c>
      <c r="H33" s="58"/>
      <c r="I33" s="23"/>
      <c r="J33" s="24"/>
      <c r="M33" s="4"/>
      <c r="N33" s="78"/>
      <c r="O33" s="78"/>
      <c r="P33" s="78" t="str">
        <f t="shared" si="4"/>
        <v>,comment_code2</v>
      </c>
      <c r="Q33" s="78" t="str">
        <f t="shared" si="0"/>
        <v>TEXT</v>
      </c>
      <c r="R33" s="78" t="str">
        <f t="shared" si="1"/>
        <v/>
      </c>
      <c r="S33" s="78" t="str">
        <f t="shared" si="5"/>
        <v/>
      </c>
      <c r="T33" s="78" t="str">
        <f t="shared" si="6"/>
        <v>-- コメントコード2</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milscm_2023_010.azn_202310_backup_merge_receiptd_iy.comment_code2 IS 'コメントコード2';</v>
      </c>
    </row>
    <row r="34" spans="1:52" s="25" customFormat="1">
      <c r="A34" s="4"/>
      <c r="B34" s="21">
        <f t="shared" si="2"/>
        <v>22</v>
      </c>
      <c r="C34" s="13" t="s">
        <v>1184</v>
      </c>
      <c r="D34" s="13" t="s">
        <v>1185</v>
      </c>
      <c r="E34" s="7"/>
      <c r="F34" s="7" t="s">
        <v>868</v>
      </c>
      <c r="G34" s="7" t="str">
        <f t="shared" si="3"/>
        <v>text</v>
      </c>
      <c r="H34" s="58"/>
      <c r="I34" s="23"/>
      <c r="J34" s="24"/>
      <c r="M34" s="4"/>
      <c r="N34" s="78"/>
      <c r="O34" s="78"/>
      <c r="P34" s="78" t="str">
        <f t="shared" si="4"/>
        <v>,comment_data2</v>
      </c>
      <c r="Q34" s="78" t="str">
        <f t="shared" si="0"/>
        <v>TEXT</v>
      </c>
      <c r="R34" s="78" t="str">
        <f t="shared" si="1"/>
        <v/>
      </c>
      <c r="S34" s="78" t="str">
        <f t="shared" si="5"/>
        <v/>
      </c>
      <c r="T34" s="78" t="str">
        <f t="shared" si="6"/>
        <v>-- 文字データ2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milscm_2023_010.azn_202310_backup_merge_receiptd_iy.comment_data2 IS '文字データ2';</v>
      </c>
    </row>
    <row r="35" spans="1:52" s="25" customFormat="1">
      <c r="A35" s="4"/>
      <c r="B35" s="21">
        <f t="shared" si="2"/>
        <v>23</v>
      </c>
      <c r="C35" s="13" t="s">
        <v>1186</v>
      </c>
      <c r="D35" s="13" t="s">
        <v>1187</v>
      </c>
      <c r="E35" s="7"/>
      <c r="F35" s="7" t="s">
        <v>868</v>
      </c>
      <c r="G35" s="7" t="str">
        <f t="shared" si="3"/>
        <v>text</v>
      </c>
      <c r="H35" s="58"/>
      <c r="I35" s="23"/>
      <c r="J35" s="24"/>
      <c r="M35" s="4"/>
      <c r="N35" s="78"/>
      <c r="O35" s="78"/>
      <c r="P35" s="78" t="str">
        <f t="shared" si="4"/>
        <v>,comment_code3</v>
      </c>
      <c r="Q35" s="78" t="str">
        <f t="shared" si="0"/>
        <v>TEXT</v>
      </c>
      <c r="R35" s="78" t="str">
        <f t="shared" si="1"/>
        <v/>
      </c>
      <c r="S35" s="78" t="str">
        <f t="shared" si="5"/>
        <v/>
      </c>
      <c r="T35" s="78" t="str">
        <f t="shared" si="6"/>
        <v>-- コメントコード3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milscm_2023_010.azn_202310_backup_merge_receiptd_iy.comment_code3 IS 'コメントコード3';</v>
      </c>
    </row>
    <row r="36" spans="1:52" s="25" customFormat="1" ht="19.5" thickBot="1">
      <c r="A36" s="4"/>
      <c r="B36" s="27">
        <f>ROW()-12</f>
        <v>24</v>
      </c>
      <c r="C36" s="57" t="s">
        <v>1188</v>
      </c>
      <c r="D36" s="57" t="s">
        <v>1189</v>
      </c>
      <c r="E36" s="56"/>
      <c r="F36" s="56" t="s">
        <v>868</v>
      </c>
      <c r="G36" s="56" t="str">
        <f t="shared" si="3"/>
        <v>text</v>
      </c>
      <c r="H36" s="59"/>
      <c r="I36" s="60"/>
      <c r="J36" s="64"/>
      <c r="N36" s="78"/>
      <c r="O36" s="78"/>
      <c r="P36" s="78" t="str">
        <f t="shared" si="4"/>
        <v>,comment_data3</v>
      </c>
      <c r="Q36" s="78" t="str">
        <f t="shared" si="0"/>
        <v>TEXT</v>
      </c>
      <c r="R36" s="78" t="str">
        <f t="shared" si="1"/>
        <v/>
      </c>
      <c r="S36" s="78" t="str">
        <f t="shared" si="5"/>
        <v/>
      </c>
      <c r="T36" s="78" t="str">
        <f t="shared" si="6"/>
        <v>-- 文字データ3</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milscm_2023_010.azn_202310_backup_merge_receiptd_iy.comment_data3 IS '文字データ3';</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B00-000000000000}"/>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ENT_01_C3-19</v>
      </c>
      <c r="E6" s="239"/>
      <c r="F6" s="239"/>
      <c r="G6" s="239"/>
      <c r="H6" s="239"/>
      <c r="I6" s="239"/>
      <c r="J6" s="240"/>
    </row>
    <row r="7" spans="1:45">
      <c r="B7" s="228" t="s">
        <v>115</v>
      </c>
      <c r="C7" s="229"/>
      <c r="D7" s="230" t="s">
        <v>1282</v>
      </c>
      <c r="E7" s="231"/>
      <c r="F7" s="231"/>
      <c r="G7" s="231"/>
      <c r="H7" s="231"/>
      <c r="I7" s="231"/>
      <c r="J7" s="232"/>
    </row>
    <row r="8" spans="1:45">
      <c r="B8" s="228" t="s">
        <v>116</v>
      </c>
      <c r="C8" s="229"/>
      <c r="D8" s="230" t="str">
        <f>エンティティ一覧!AE2&amp;"_"&amp;D5&amp;"_merge_receiptd_iy_day"</f>
        <v>azn_202310_backup_merge_receiptd_iy_day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milscm_2023_010.azn_202310_backup_merge_receiptd_iy_day;</v>
      </c>
      <c r="O10" s="78"/>
      <c r="P10" s="78"/>
      <c r="Q10" s="78"/>
      <c r="R10" s="78"/>
      <c r="S10" s="78"/>
      <c r="T10" s="78"/>
      <c r="AJ10" s="78" t="str">
        <f>"ALTER TABLE ONLY "&amp;エンティティ一覧!$O$2&amp;"."&amp;D$8</f>
        <v>ALTER TABLE ONLY milscm_2023_010.azn_202310_backup_merge_receiptd_iy_day</v>
      </c>
      <c r="AS10" s="78" t="str">
        <f>"ALTER TABLE "&amp;エンティティ一覧!$O$2&amp;"."&amp;D$8&amp;" OWNER TO pgmisgrp1;"</f>
        <v>ALTER TABLE milscm_2023_010.azn_202310_backup_merge_receiptd_iy_day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milscm_2023_010.azn_202310_backup_merge_receiptd_iy_day</v>
      </c>
      <c r="O11" s="78"/>
      <c r="P11" s="78"/>
      <c r="Q11" s="78"/>
      <c r="R11" s="78"/>
      <c r="S11" s="78"/>
      <c r="T11" s="78"/>
      <c r="AJ11" s="78" t="str">
        <f>"ADD CONSTRAINT "&amp;D$8&amp;"_pkey PRIMARY KEY"</f>
        <v>ADD CONSTRAINT azn_202310_backup_merge_receiptd_iy_day_pkey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milscm_2023_010.azn_202310_backup_merge_receiptd_iy_day IS 'バックアップ_DPCレセプト_医薬品レコード_算定日情報';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milscm_2023_010.azn_202310_backup_merge_receiptd_iy_day.torikomi_ym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258</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milscm_2023_010.azn_202310_backup_merge_receiptd_iy_day.mil_karute_id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975</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milscm_2023_010.azn_202310_backup_merge_receiptd_iy_day.facility_id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milscm_2023_010.azn_202310_backup_merge_receiptd_iy_day.seikyu_ym IS '請求年月';</v>
      </c>
    </row>
    <row r="17" spans="1:52"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milscm_2023_010.azn_202310_backup_merge_receiptd_iy_day.shinryo_ym IS '診療年月';</v>
      </c>
    </row>
    <row r="18" spans="1:52"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milscm_2023_010.azn_202310_backup_merge_receiptd_iy_day.data_type IS 'データ種別';</v>
      </c>
    </row>
    <row r="19" spans="1:52"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milscm_2023_010.azn_202310_backup_merge_receiptd_iy_day.shinsa_kikan IS '審査支払機関';</v>
      </c>
    </row>
    <row r="20" spans="1:52" s="25" customFormat="1">
      <c r="A20" s="4"/>
      <c r="B20" s="21">
        <f t="shared" si="2"/>
        <v>8</v>
      </c>
      <c r="C20" s="13" t="s">
        <v>953</v>
      </c>
      <c r="D20" s="13" t="s">
        <v>954</v>
      </c>
      <c r="E20" s="7"/>
      <c r="F20" s="7" t="s">
        <v>868</v>
      </c>
      <c r="G20" s="7" t="str">
        <f t="shared" si="3"/>
        <v>text</v>
      </c>
      <c r="H20" s="58" t="s">
        <v>1206</v>
      </c>
      <c r="I20" s="23" t="s">
        <v>127</v>
      </c>
      <c r="J20" s="24" t="s">
        <v>1207</v>
      </c>
      <c r="M20" s="4"/>
      <c r="N20" s="78"/>
      <c r="O20" s="78"/>
      <c r="P20" s="78" t="str">
        <f t="shared" si="4"/>
        <v>,record_shikibetsu</v>
      </c>
      <c r="Q20" s="78" t="str">
        <f t="shared" si="0"/>
        <v>TEXT</v>
      </c>
      <c r="R20" s="78" t="str">
        <f t="shared" si="1"/>
        <v>default 'IY'</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milscm_2023_010.azn_202310_backup_merge_receiptd_iy_day.record_shikibetsu IS 'レコード識別情報';</v>
      </c>
    </row>
    <row r="21" spans="1:52"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milscm_2023_010.azn_202310_backup_merge_receiptd_iy_day.receipt_no IS 'レセプト番号';</v>
      </c>
    </row>
    <row r="22" spans="1:52" s="25" customFormat="1">
      <c r="A22" s="4"/>
      <c r="B22" s="21">
        <f t="shared" si="2"/>
        <v>10</v>
      </c>
      <c r="C22" s="13" t="s">
        <v>957</v>
      </c>
      <c r="D22" s="13" t="s">
        <v>958</v>
      </c>
      <c r="E22" s="7" t="s">
        <v>127</v>
      </c>
      <c r="F22" s="7" t="s">
        <v>205</v>
      </c>
      <c r="G22" s="7" t="str">
        <f t="shared" si="3"/>
        <v>integer</v>
      </c>
      <c r="H22" s="58"/>
      <c r="I22" s="23" t="s">
        <v>127</v>
      </c>
      <c r="J22" s="24" t="s">
        <v>1162</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milscm_2023_010.azn_202310_backup_merge_receiptd_iy_day.gyo_no IS '行番号';</v>
      </c>
    </row>
    <row r="23" spans="1:52"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milscm_2023_010.azn_202310_backup_merge_receiptd_iy_day.karute_no IS 'カルテ番号等';</v>
      </c>
    </row>
    <row r="24" spans="1:52" s="25" customFormat="1">
      <c r="A24" s="4"/>
      <c r="B24" s="21">
        <f t="shared" si="2"/>
        <v>12</v>
      </c>
      <c r="C24" s="13" t="s">
        <v>1243</v>
      </c>
      <c r="D24" s="13" t="s">
        <v>1244</v>
      </c>
      <c r="E24" s="7"/>
      <c r="F24" s="7" t="s">
        <v>868</v>
      </c>
      <c r="G24" s="7" t="str">
        <f t="shared" si="3"/>
        <v>text</v>
      </c>
      <c r="H24" s="58"/>
      <c r="I24" s="23"/>
      <c r="J24" s="24" t="s">
        <v>1278</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milscm_2023_010.azn_202310_backup_merge_receiptd_iy_day.receipt_sokatsu_kubun IS 'レセプト総括区分';</v>
      </c>
    </row>
    <row r="25" spans="1:52" s="25" customFormat="1">
      <c r="A25" s="4"/>
      <c r="B25" s="21">
        <f t="shared" si="2"/>
        <v>13</v>
      </c>
      <c r="C25" s="13" t="s">
        <v>1194</v>
      </c>
      <c r="D25" s="13" t="s">
        <v>1195</v>
      </c>
      <c r="E25" s="7" t="s">
        <v>127</v>
      </c>
      <c r="F25" s="7" t="s">
        <v>868</v>
      </c>
      <c r="G25" s="7" t="str">
        <f t="shared" si="3"/>
        <v>text</v>
      </c>
      <c r="H25" s="58"/>
      <c r="I25" s="23" t="s">
        <v>127</v>
      </c>
      <c r="J25" s="24" t="s">
        <v>1197</v>
      </c>
      <c r="M25" s="4"/>
      <c r="N25" s="78"/>
      <c r="O25" s="78"/>
      <c r="P25" s="78" t="str">
        <f t="shared" si="4"/>
        <v>,santei_ymd</v>
      </c>
      <c r="Q25" s="78" t="str">
        <f t="shared" si="0"/>
        <v>TEXT</v>
      </c>
      <c r="R25" s="78" t="str">
        <f t="shared" si="1"/>
        <v/>
      </c>
      <c r="S25" s="78" t="str">
        <f t="shared" si="5"/>
        <v>NOT NULL</v>
      </c>
      <c r="T25" s="78" t="str">
        <f t="shared" si="6"/>
        <v>-- 算定日</v>
      </c>
      <c r="U25" s="4"/>
      <c r="AA25" s="4"/>
      <c r="AB25" s="4"/>
      <c r="AC25" s="4"/>
      <c r="AD25" s="4"/>
      <c r="AE25" s="4"/>
      <c r="AF25" s="4"/>
      <c r="AG25" s="4"/>
      <c r="AH25" s="4"/>
      <c r="AI25" s="4"/>
      <c r="AJ25" s="78" t="str">
        <f>IF(E25="○",IF(COUNTA(E$13:E25)=1,"",",")&amp;D25,"")</f>
        <v>,santei_ymd</v>
      </c>
      <c r="AK25" s="4"/>
      <c r="AL25" s="4"/>
      <c r="AM25" s="4"/>
      <c r="AN25" s="4"/>
      <c r="AO25" s="4"/>
      <c r="AP25" s="4"/>
      <c r="AQ25" s="4"/>
      <c r="AR25" s="4"/>
      <c r="AS25" s="78" t="str">
        <f>"COMMENT ON COLUMN "&amp;エンティティ一覧!$O$2&amp;"."&amp;D$8&amp;"."&amp;D25&amp;" IS '"&amp;C25&amp;"';"</f>
        <v>COMMENT ON COLUMN milscm_2023_010.azn_202310_backup_merge_receiptd_iy_day.santei_ymd IS '算定日';</v>
      </c>
    </row>
    <row r="26" spans="1:52" s="25" customFormat="1" ht="19.5" thickBot="1">
      <c r="A26" s="4"/>
      <c r="B26" s="27">
        <f>ROW()-12</f>
        <v>14</v>
      </c>
      <c r="C26" s="57" t="s">
        <v>1196</v>
      </c>
      <c r="D26" s="57" t="s">
        <v>1177</v>
      </c>
      <c r="E26" s="56"/>
      <c r="F26" s="56" t="s">
        <v>205</v>
      </c>
      <c r="G26" s="56" t="str">
        <f t="shared" si="3"/>
        <v>integer</v>
      </c>
      <c r="H26" s="59"/>
      <c r="I26" s="60"/>
      <c r="J26" s="64"/>
      <c r="N26" s="78"/>
      <c r="O26" s="78"/>
      <c r="P26" s="78" t="str">
        <f t="shared" si="4"/>
        <v>,times</v>
      </c>
      <c r="Q26" s="78" t="str">
        <f t="shared" si="0"/>
        <v>INTEGER</v>
      </c>
      <c r="R26" s="78" t="str">
        <f t="shared" si="1"/>
        <v/>
      </c>
      <c r="S26" s="78" t="str">
        <f t="shared" si="5"/>
        <v/>
      </c>
      <c r="T26" s="78" t="str">
        <f t="shared" si="6"/>
        <v>-- 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milscm_2023_010.azn_202310_backup_merge_receiptd_iy_day.times IS '回数';</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C00-000000000000}"/>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AZ7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ENT_01_C3-24</v>
      </c>
      <c r="E6" s="239"/>
      <c r="F6" s="239"/>
      <c r="G6" s="239"/>
      <c r="H6" s="239"/>
      <c r="I6" s="239"/>
      <c r="J6" s="240"/>
    </row>
    <row r="7" spans="1:45">
      <c r="B7" s="228" t="s">
        <v>115</v>
      </c>
      <c r="C7" s="229"/>
      <c r="D7" s="230" t="s">
        <v>1284</v>
      </c>
      <c r="E7" s="231"/>
      <c r="F7" s="231"/>
      <c r="G7" s="231"/>
      <c r="H7" s="231"/>
      <c r="I7" s="231"/>
      <c r="J7" s="232"/>
    </row>
    <row r="8" spans="1:45">
      <c r="B8" s="228" t="s">
        <v>116</v>
      </c>
      <c r="C8" s="229"/>
      <c r="D8" s="230" t="str">
        <f>エンティティ一覧!AE2&amp;"_"&amp;D5&amp;"_merge_receiptd_tr"</f>
        <v>azn_202310_backup_merge_receiptd_tr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milscm_2023_010.azn_202310_backup_merge_receiptd_tr;</v>
      </c>
      <c r="O10" s="78"/>
      <c r="P10" s="78"/>
      <c r="Q10" s="78"/>
      <c r="R10" s="78"/>
      <c r="S10" s="78"/>
      <c r="T10" s="78"/>
      <c r="AJ10" s="78" t="str">
        <f>"ALTER TABLE ONLY "&amp;エンティティ一覧!$O$2&amp;"."&amp;D$8</f>
        <v>ALTER TABLE ONLY milscm_2023_010.azn_202310_backup_merge_receiptd_tr</v>
      </c>
      <c r="AS10" s="78" t="str">
        <f>"ALTER TABLE "&amp;エンティティ一覧!$O$2&amp;"."&amp;D$8&amp;" OWNER TO pgmisgrp1;"</f>
        <v>ALTER TABLE milscm_2023_010.azn_202310_backup_merge_receiptd_tr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milscm_2023_010.azn_202310_backup_merge_receiptd_tr</v>
      </c>
      <c r="O11" s="78"/>
      <c r="P11" s="78"/>
      <c r="Q11" s="78"/>
      <c r="R11" s="78"/>
      <c r="S11" s="78"/>
      <c r="T11" s="78"/>
      <c r="AJ11" s="78" t="str">
        <f>"ADD CONSTRAINT "&amp;D$8&amp;"_pkey PRIMARY KEY"</f>
        <v>ADD CONSTRAINT azn_202310_backup_merge_receiptd_tr_pkey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milscm_2023_010.azn_202310_backup_merge_receiptd_tr IS 'バックアップ_DPCレセプト_臓器提供者レセプト情報レコード';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8" si="0">UPPER(G13)</f>
        <v>TEXT</v>
      </c>
      <c r="R13" s="78" t="str">
        <f t="shared" ref="R13:R4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milscm_2023_010.azn_202310_backup_merge_receiptd_tr.torikomi_ym IS '取込年月';</v>
      </c>
    </row>
    <row r="14" spans="1:45" s="25" customFormat="1">
      <c r="A14" s="4"/>
      <c r="B14" s="21">
        <f t="shared" ref="B14:B47" si="2">ROW()-12</f>
        <v>2</v>
      </c>
      <c r="C14" s="6" t="s">
        <v>203</v>
      </c>
      <c r="D14" s="6" t="s">
        <v>204</v>
      </c>
      <c r="E14" s="8"/>
      <c r="F14" s="7" t="s">
        <v>205</v>
      </c>
      <c r="G14" s="7" t="str">
        <f t="shared" ref="G14:G48" si="3">IF(F14="フラグ","boolean",IF(F14="文字列","text",IF(F14="整数","integer",IF(F14="実数","numeric",""))))</f>
        <v>integer</v>
      </c>
      <c r="H14" s="26"/>
      <c r="I14" s="10"/>
      <c r="J14" s="11" t="s">
        <v>258</v>
      </c>
      <c r="M14" s="4"/>
      <c r="N14" s="78"/>
      <c r="O14" s="78"/>
      <c r="P14" s="78" t="str">
        <f t="shared" ref="P14:P4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milscm_2023_010.azn_202310_backup_merge_receiptd_tr.mil_karute_id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1245</v>
      </c>
      <c r="M15" s="4"/>
      <c r="N15" s="78"/>
      <c r="O15" s="78"/>
      <c r="P15" s="78" t="str">
        <f t="shared" si="4"/>
        <v>,facility_id</v>
      </c>
      <c r="Q15" s="78" t="str">
        <f t="shared" si="0"/>
        <v>TEXT</v>
      </c>
      <c r="R15" s="78" t="str">
        <f t="shared" si="1"/>
        <v/>
      </c>
      <c r="S15" s="78" t="str">
        <f t="shared" ref="S15:S48" si="5">IF(I15="○","NOT NULL","")</f>
        <v>NOT NULL</v>
      </c>
      <c r="T15" s="78" t="str">
        <f t="shared" ref="T15:T4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milscm_2023_010.azn_202310_backup_merge_receiptd_tr.facility_id IS '施設ID';</v>
      </c>
    </row>
    <row r="16" spans="1:45" s="25" customFormat="1">
      <c r="A16" s="4"/>
      <c r="B16" s="21">
        <f t="shared" si="2"/>
        <v>4</v>
      </c>
      <c r="C16" s="13" t="s">
        <v>949</v>
      </c>
      <c r="D16" s="13" t="s">
        <v>950</v>
      </c>
      <c r="E16" s="7" t="s">
        <v>127</v>
      </c>
      <c r="F16" s="7" t="s">
        <v>868</v>
      </c>
      <c r="G16" s="7" t="str">
        <f t="shared" si="3"/>
        <v>text</v>
      </c>
      <c r="H16" s="58"/>
      <c r="I16" s="23" t="s">
        <v>127</v>
      </c>
      <c r="J16" s="24" t="s">
        <v>1100</v>
      </c>
      <c r="M16" s="4"/>
      <c r="N16" s="78"/>
      <c r="O16" s="78"/>
      <c r="P16" s="78" t="str">
        <f t="shared" si="4"/>
        <v>,seikyu_ym</v>
      </c>
      <c r="Q16" s="78" t="str">
        <f t="shared" si="0"/>
        <v>TEXT</v>
      </c>
      <c r="R16" s="78" t="str">
        <f t="shared" si="1"/>
        <v/>
      </c>
      <c r="S16" s="78" t="str">
        <f t="shared" si="5"/>
        <v>NOT NULL</v>
      </c>
      <c r="T16" s="78" t="str">
        <f t="shared" si="6"/>
        <v>-- 請求年月</v>
      </c>
      <c r="U16" s="4"/>
      <c r="AA16" s="4"/>
      <c r="AB16" s="4"/>
      <c r="AC16" s="4"/>
      <c r="AD16" s="4"/>
      <c r="AE16" s="4"/>
      <c r="AF16" s="4"/>
      <c r="AG16" s="4"/>
      <c r="AH16" s="4"/>
      <c r="AI16" s="4"/>
      <c r="AJ16" s="78" t="str">
        <f>IF(E16="○",IF(COUNTA(E$13:E16)=1,"",",")&amp;D16,"")</f>
        <v>,seikyu_ym</v>
      </c>
      <c r="AK16" s="4"/>
      <c r="AL16" s="4"/>
      <c r="AM16" s="4"/>
      <c r="AN16" s="4"/>
      <c r="AO16" s="4"/>
      <c r="AP16" s="4"/>
      <c r="AQ16" s="4"/>
      <c r="AR16" s="4"/>
      <c r="AS16" s="78" t="str">
        <f>"COMMENT ON COLUMN "&amp;エンティティ一覧!$O$2&amp;"."&amp;D$8&amp;"."&amp;D16&amp;" IS '"&amp;C16&amp;"';"</f>
        <v>COMMENT ON COLUMN milscm_2023_010.azn_202310_backup_merge_receiptd_tr.seikyu_ym IS '請求年月';</v>
      </c>
    </row>
    <row r="17" spans="1:45" s="25" customFormat="1">
      <c r="A17" s="4"/>
      <c r="B17" s="21">
        <f t="shared" si="2"/>
        <v>5</v>
      </c>
      <c r="C17" s="13" t="s">
        <v>869</v>
      </c>
      <c r="D17" s="13" t="s">
        <v>207</v>
      </c>
      <c r="E17" s="7" t="s">
        <v>127</v>
      </c>
      <c r="F17" s="7" t="s">
        <v>868</v>
      </c>
      <c r="G17" s="7" t="str">
        <f t="shared" si="3"/>
        <v>text</v>
      </c>
      <c r="H17" s="58"/>
      <c r="I17" s="23" t="s">
        <v>127</v>
      </c>
      <c r="J17" s="24" t="s">
        <v>1159</v>
      </c>
      <c r="M17" s="4"/>
      <c r="N17" s="78"/>
      <c r="O17" s="78"/>
      <c r="P17" s="78" t="str">
        <f t="shared" si="4"/>
        <v>,shinryo_ym</v>
      </c>
      <c r="Q17" s="78" t="str">
        <f t="shared" si="0"/>
        <v>TEXT</v>
      </c>
      <c r="R17" s="78" t="str">
        <f t="shared" si="1"/>
        <v/>
      </c>
      <c r="S17" s="78" t="str">
        <f t="shared" si="5"/>
        <v>NOT NULL</v>
      </c>
      <c r="T17" s="78" t="str">
        <f t="shared" si="6"/>
        <v>-- 診療年月</v>
      </c>
      <c r="U17" s="4"/>
      <c r="AA17" s="4"/>
      <c r="AB17" s="4"/>
      <c r="AC17" s="4"/>
      <c r="AD17" s="4"/>
      <c r="AE17" s="4"/>
      <c r="AF17" s="4"/>
      <c r="AG17" s="4"/>
      <c r="AH17" s="4"/>
      <c r="AI17" s="4"/>
      <c r="AJ17" s="78" t="str">
        <f>IF(E17="○",IF(COUNTA(E$13:E17)=1,"",",")&amp;D17,"")</f>
        <v>,shinryo_ym</v>
      </c>
      <c r="AK17" s="4"/>
      <c r="AL17" s="4"/>
      <c r="AM17" s="4"/>
      <c r="AN17" s="4"/>
      <c r="AO17" s="4"/>
      <c r="AP17" s="4"/>
      <c r="AQ17" s="4"/>
      <c r="AR17" s="4"/>
      <c r="AS17" s="78" t="str">
        <f>"COMMENT ON COLUMN "&amp;エンティティ一覧!$O$2&amp;"."&amp;D$8&amp;"."&amp;D17&amp;" IS '"&amp;C17&amp;"';"</f>
        <v>COMMENT ON COLUMN milscm_2023_010.azn_202310_backup_merge_receiptd_tr.shinryo_ym IS '診療年月';</v>
      </c>
    </row>
    <row r="18" spans="1:45" s="25" customFormat="1">
      <c r="A18" s="4"/>
      <c r="B18" s="21">
        <f t="shared" si="2"/>
        <v>6</v>
      </c>
      <c r="C18" s="13" t="s">
        <v>320</v>
      </c>
      <c r="D18" s="13" t="s">
        <v>209</v>
      </c>
      <c r="E18" s="7"/>
      <c r="F18" s="7" t="s">
        <v>868</v>
      </c>
      <c r="G18" s="7" t="str">
        <f t="shared" si="3"/>
        <v>text</v>
      </c>
      <c r="H18" s="58" t="s">
        <v>977</v>
      </c>
      <c r="I18" s="23" t="s">
        <v>127</v>
      </c>
      <c r="J18" s="24" t="s">
        <v>978</v>
      </c>
      <c r="M18" s="4"/>
      <c r="N18" s="78"/>
      <c r="O18" s="78"/>
      <c r="P18" s="78" t="str">
        <f t="shared" si="4"/>
        <v>,data_type</v>
      </c>
      <c r="Q18" s="78" t="str">
        <f t="shared" si="0"/>
        <v>TEXT</v>
      </c>
      <c r="R18" s="78" t="str">
        <f t="shared" si="1"/>
        <v>default 'RCP'</v>
      </c>
      <c r="S18" s="78" t="str">
        <f t="shared" si="5"/>
        <v>NOT NULL</v>
      </c>
      <c r="T18" s="78" t="str">
        <f t="shared" si="6"/>
        <v>-- データ種別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milscm_2023_010.azn_202310_backup_merge_receiptd_tr.data_type IS 'データ種別';</v>
      </c>
    </row>
    <row r="19" spans="1:45" s="25" customFormat="1">
      <c r="A19" s="4"/>
      <c r="B19" s="21">
        <f t="shared" si="2"/>
        <v>7</v>
      </c>
      <c r="C19" s="13" t="s">
        <v>951</v>
      </c>
      <c r="D19" s="13" t="s">
        <v>952</v>
      </c>
      <c r="E19" s="7" t="s">
        <v>127</v>
      </c>
      <c r="F19" s="7" t="s">
        <v>868</v>
      </c>
      <c r="G19" s="7" t="str">
        <f t="shared" si="3"/>
        <v>text</v>
      </c>
      <c r="H19" s="58"/>
      <c r="I19" s="23" t="s">
        <v>127</v>
      </c>
      <c r="J19" s="24" t="s">
        <v>1102</v>
      </c>
      <c r="M19" s="4"/>
      <c r="N19" s="78"/>
      <c r="O19" s="78"/>
      <c r="P19" s="78" t="str">
        <f t="shared" si="4"/>
        <v>,shinsa_kikan</v>
      </c>
      <c r="Q19" s="78" t="str">
        <f t="shared" si="0"/>
        <v>TEXT</v>
      </c>
      <c r="R19" s="78" t="str">
        <f t="shared" si="1"/>
        <v/>
      </c>
      <c r="S19" s="78" t="str">
        <f t="shared" si="5"/>
        <v>NOT NULL</v>
      </c>
      <c r="T19" s="78" t="str">
        <f t="shared" si="6"/>
        <v>-- 審査支払機関</v>
      </c>
      <c r="U19" s="4"/>
      <c r="AA19" s="4"/>
      <c r="AB19" s="4"/>
      <c r="AC19" s="4"/>
      <c r="AD19" s="4"/>
      <c r="AE19" s="4"/>
      <c r="AF19" s="4"/>
      <c r="AG19" s="4"/>
      <c r="AH19" s="4"/>
      <c r="AI19" s="4"/>
      <c r="AJ19" s="78" t="str">
        <f>IF(E19="○",IF(COUNTA(E$13:E19)=1,"",",")&amp;D19,"")</f>
        <v>,shinsa_kikan</v>
      </c>
      <c r="AK19" s="4"/>
      <c r="AL19" s="4"/>
      <c r="AM19" s="4"/>
      <c r="AN19" s="4"/>
      <c r="AO19" s="4"/>
      <c r="AP19" s="4"/>
      <c r="AQ19" s="4"/>
      <c r="AR19" s="4"/>
      <c r="AS19" s="78" t="str">
        <f>"COMMENT ON COLUMN "&amp;エンティティ一覧!$O$2&amp;"."&amp;D$8&amp;"."&amp;D19&amp;" IS '"&amp;C19&amp;"';"</f>
        <v>COMMENT ON COLUMN milscm_2023_010.azn_202310_backup_merge_receiptd_tr.shinsa_kikan IS '審査支払機関';</v>
      </c>
    </row>
    <row r="20" spans="1:45" s="25" customFormat="1">
      <c r="A20" s="4"/>
      <c r="B20" s="21">
        <f t="shared" si="2"/>
        <v>8</v>
      </c>
      <c r="C20" s="13" t="s">
        <v>953</v>
      </c>
      <c r="D20" s="13" t="s">
        <v>954</v>
      </c>
      <c r="E20" s="7"/>
      <c r="F20" s="7" t="s">
        <v>868</v>
      </c>
      <c r="G20" s="7" t="str">
        <f t="shared" si="3"/>
        <v>text</v>
      </c>
      <c r="H20" s="58" t="s">
        <v>1238</v>
      </c>
      <c r="I20" s="23" t="s">
        <v>127</v>
      </c>
      <c r="J20" s="24" t="s">
        <v>1239</v>
      </c>
      <c r="M20" s="4"/>
      <c r="N20" s="78"/>
      <c r="O20" s="78"/>
      <c r="P20" s="78" t="str">
        <f t="shared" si="4"/>
        <v>,record_shikibetsu</v>
      </c>
      <c r="Q20" s="78" t="str">
        <f t="shared" si="0"/>
        <v>TEXT</v>
      </c>
      <c r="R20" s="78" t="str">
        <f t="shared" si="1"/>
        <v>default 'TR'</v>
      </c>
      <c r="S20" s="78" t="str">
        <f t="shared" si="5"/>
        <v>NOT NULL</v>
      </c>
      <c r="T20" s="78" t="str">
        <f t="shared" si="6"/>
        <v>-- レコード識別情報</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milscm_2023_010.azn_202310_backup_merge_receiptd_tr.record_shikibetsu IS 'レコード識別情報';</v>
      </c>
    </row>
    <row r="21" spans="1:45" s="25" customFormat="1">
      <c r="A21" s="4"/>
      <c r="B21" s="21">
        <f t="shared" si="2"/>
        <v>9</v>
      </c>
      <c r="C21" s="13" t="s">
        <v>955</v>
      </c>
      <c r="D21" s="13" t="s">
        <v>956</v>
      </c>
      <c r="E21" s="7" t="s">
        <v>127</v>
      </c>
      <c r="F21" s="7" t="s">
        <v>205</v>
      </c>
      <c r="G21" s="7" t="str">
        <f t="shared" si="3"/>
        <v>integer</v>
      </c>
      <c r="H21" s="58"/>
      <c r="I21" s="23" t="s">
        <v>127</v>
      </c>
      <c r="J21" s="24" t="s">
        <v>1105</v>
      </c>
      <c r="M21" s="4"/>
      <c r="N21" s="78"/>
      <c r="O21" s="78"/>
      <c r="P21" s="78" t="str">
        <f t="shared" si="4"/>
        <v>,receipt_no</v>
      </c>
      <c r="Q21" s="78" t="str">
        <f t="shared" si="0"/>
        <v>INTEGER</v>
      </c>
      <c r="R21" s="78" t="str">
        <f t="shared" si="1"/>
        <v/>
      </c>
      <c r="S21" s="78" t="str">
        <f t="shared" si="5"/>
        <v>NOT NULL</v>
      </c>
      <c r="T21" s="78" t="str">
        <f t="shared" si="6"/>
        <v>-- レセプト番号</v>
      </c>
      <c r="U21" s="4"/>
      <c r="AA21" s="4"/>
      <c r="AB21" s="4"/>
      <c r="AC21" s="4"/>
      <c r="AD21" s="4"/>
      <c r="AE21" s="4"/>
      <c r="AF21" s="4"/>
      <c r="AG21" s="4"/>
      <c r="AH21" s="4"/>
      <c r="AI21" s="4"/>
      <c r="AJ21" s="78" t="str">
        <f>IF(E21="○",IF(COUNTA(E$13:E21)=1,"",",")&amp;D21,"")</f>
        <v>,receipt_no</v>
      </c>
      <c r="AK21" s="4"/>
      <c r="AL21" s="4"/>
      <c r="AM21" s="4"/>
      <c r="AN21" s="4"/>
      <c r="AO21" s="4"/>
      <c r="AP21" s="4"/>
      <c r="AQ21" s="4"/>
      <c r="AR21" s="4"/>
      <c r="AS21" s="78" t="str">
        <f>"COMMENT ON COLUMN "&amp;エンティティ一覧!$O$2&amp;"."&amp;D$8&amp;"."&amp;D21&amp;" IS '"&amp;C21&amp;"';"</f>
        <v>COMMENT ON COLUMN milscm_2023_010.azn_202310_backup_merge_receiptd_tr.receipt_no IS 'レセプト番号';</v>
      </c>
    </row>
    <row r="22" spans="1:45" s="25" customFormat="1">
      <c r="A22" s="4"/>
      <c r="B22" s="21">
        <f t="shared" si="2"/>
        <v>10</v>
      </c>
      <c r="C22" s="13" t="s">
        <v>957</v>
      </c>
      <c r="D22" s="13" t="s">
        <v>958</v>
      </c>
      <c r="E22" s="7" t="s">
        <v>127</v>
      </c>
      <c r="F22" s="7" t="s">
        <v>205</v>
      </c>
      <c r="G22" s="7" t="str">
        <f t="shared" si="3"/>
        <v>integer</v>
      </c>
      <c r="H22" s="58"/>
      <c r="I22" s="23" t="s">
        <v>127</v>
      </c>
      <c r="J22" s="24" t="s">
        <v>1250</v>
      </c>
      <c r="M22" s="4"/>
      <c r="N22" s="78"/>
      <c r="O22" s="78"/>
      <c r="P22" s="78" t="str">
        <f t="shared" si="4"/>
        <v>,gyo_no</v>
      </c>
      <c r="Q22" s="78" t="str">
        <f t="shared" si="0"/>
        <v>INTEGER</v>
      </c>
      <c r="R22" s="78" t="str">
        <f t="shared" si="1"/>
        <v/>
      </c>
      <c r="S22" s="78" t="str">
        <f t="shared" si="5"/>
        <v>NOT NULL</v>
      </c>
      <c r="T22" s="78" t="str">
        <f t="shared" si="6"/>
        <v>-- 行番号</v>
      </c>
      <c r="U22" s="4"/>
      <c r="AA22" s="4"/>
      <c r="AB22" s="4"/>
      <c r="AC22" s="4"/>
      <c r="AD22" s="4"/>
      <c r="AE22" s="4"/>
      <c r="AF22" s="4"/>
      <c r="AG22" s="4"/>
      <c r="AH22" s="4"/>
      <c r="AI22" s="4"/>
      <c r="AJ22" s="78" t="str">
        <f>IF(E22="○",IF(COUNTA(E$13:E22)=1,"",",")&amp;D22,"")</f>
        <v>,gyo_no</v>
      </c>
      <c r="AK22" s="4"/>
      <c r="AL22" s="4"/>
      <c r="AM22" s="4"/>
      <c r="AN22" s="4"/>
      <c r="AO22" s="4"/>
      <c r="AP22" s="4"/>
      <c r="AQ22" s="4"/>
      <c r="AR22" s="4"/>
      <c r="AS22" s="78" t="str">
        <f>"COMMENT ON COLUMN "&amp;エンティティ一覧!$O$2&amp;"."&amp;D$8&amp;"."&amp;D22&amp;" IS '"&amp;C22&amp;"';"</f>
        <v>COMMENT ON COLUMN milscm_2023_010.azn_202310_backup_merge_receiptd_tr.gyo_no IS '行番号';</v>
      </c>
    </row>
    <row r="23" spans="1:45" s="25" customFormat="1">
      <c r="A23" s="4"/>
      <c r="B23" s="21">
        <f t="shared" si="2"/>
        <v>11</v>
      </c>
      <c r="C23" s="13" t="s">
        <v>959</v>
      </c>
      <c r="D23" s="13" t="s">
        <v>960</v>
      </c>
      <c r="E23" s="7"/>
      <c r="F23" s="7" t="s">
        <v>868</v>
      </c>
      <c r="G23" s="7" t="str">
        <f t="shared" si="3"/>
        <v>text</v>
      </c>
      <c r="H23" s="58"/>
      <c r="I23" s="23"/>
      <c r="J23" s="24" t="s">
        <v>1107</v>
      </c>
      <c r="M23" s="4"/>
      <c r="N23" s="78"/>
      <c r="O23" s="78"/>
      <c r="P23" s="78" t="str">
        <f t="shared" si="4"/>
        <v>,karute_no</v>
      </c>
      <c r="Q23" s="78" t="str">
        <f t="shared" si="0"/>
        <v>TEXT</v>
      </c>
      <c r="R23" s="78" t="str">
        <f t="shared" si="1"/>
        <v/>
      </c>
      <c r="S23" s="78" t="str">
        <f t="shared" si="5"/>
        <v/>
      </c>
      <c r="T23" s="78" t="str">
        <f t="shared" si="6"/>
        <v>-- カルテ番号等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milscm_2023_010.azn_202310_backup_merge_receiptd_tr.karute_no IS 'カルテ番号等';</v>
      </c>
    </row>
    <row r="24" spans="1:45" s="25" customFormat="1">
      <c r="A24" s="4"/>
      <c r="B24" s="21">
        <f t="shared" si="2"/>
        <v>12</v>
      </c>
      <c r="C24" s="13" t="s">
        <v>1243</v>
      </c>
      <c r="D24" s="13" t="s">
        <v>1244</v>
      </c>
      <c r="E24" s="7"/>
      <c r="F24" s="7" t="s">
        <v>868</v>
      </c>
      <c r="G24" s="7" t="str">
        <f t="shared" si="3"/>
        <v>text</v>
      </c>
      <c r="H24" s="58"/>
      <c r="I24" s="23"/>
      <c r="J24" s="24" t="s">
        <v>1265</v>
      </c>
      <c r="M24" s="4"/>
      <c r="N24" s="78"/>
      <c r="O24" s="78"/>
      <c r="P24" s="78" t="str">
        <f t="shared" si="4"/>
        <v>,receipt_sokatsu_kubun</v>
      </c>
      <c r="Q24" s="78" t="str">
        <f t="shared" si="0"/>
        <v>TEXT</v>
      </c>
      <c r="R24" s="78" t="str">
        <f t="shared" si="1"/>
        <v/>
      </c>
      <c r="S24" s="78" t="str">
        <f t="shared" si="5"/>
        <v/>
      </c>
      <c r="T24" s="78" t="str">
        <f t="shared" si="6"/>
        <v>-- レセプト総括区分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milscm_2023_010.azn_202310_backup_merge_receiptd_tr.receipt_sokatsu_kubun IS 'レセプト総括区分';</v>
      </c>
    </row>
    <row r="25" spans="1:45" s="25" customFormat="1" ht="31.5">
      <c r="A25" s="4"/>
      <c r="B25" s="21">
        <f t="shared" si="2"/>
        <v>13</v>
      </c>
      <c r="C25" s="13" t="s">
        <v>1211</v>
      </c>
      <c r="D25" s="13" t="s">
        <v>1212</v>
      </c>
      <c r="E25" s="7"/>
      <c r="F25" s="7" t="s">
        <v>205</v>
      </c>
      <c r="G25" s="7" t="str">
        <f t="shared" si="3"/>
        <v>integer</v>
      </c>
      <c r="H25" s="58"/>
      <c r="I25" s="23"/>
      <c r="J25" s="24"/>
      <c r="M25" s="4"/>
      <c r="N25" s="78"/>
      <c r="O25" s="78"/>
      <c r="P25" s="78" t="str">
        <f t="shared" si="4"/>
        <v>,receipt_no_tr</v>
      </c>
      <c r="Q25" s="78" t="str">
        <f t="shared" si="0"/>
        <v>INTEGER</v>
      </c>
      <c r="R25" s="78" t="str">
        <f t="shared" si="1"/>
        <v/>
      </c>
      <c r="S25" s="78" t="str">
        <f t="shared" si="5"/>
        <v/>
      </c>
      <c r="T25" s="78" t="str">
        <f t="shared" si="6"/>
        <v>-- レセプト番号（臓器提供者レセプト情報）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milscm_2023_010.azn_202310_backup_merge_receiptd_tr.receipt_no_tr IS 'レセプト番号（臓器提供者レセプト情報）';</v>
      </c>
    </row>
    <row r="26" spans="1:45" s="25" customFormat="1">
      <c r="A26" s="4"/>
      <c r="B26" s="21">
        <f t="shared" si="2"/>
        <v>14</v>
      </c>
      <c r="C26" s="13" t="s">
        <v>1213</v>
      </c>
      <c r="D26" s="13" t="s">
        <v>1214</v>
      </c>
      <c r="E26" s="7"/>
      <c r="F26" s="7" t="s">
        <v>868</v>
      </c>
      <c r="G26" s="7" t="str">
        <f t="shared" si="3"/>
        <v>text</v>
      </c>
      <c r="H26" s="58"/>
      <c r="I26" s="23"/>
      <c r="J26" s="24"/>
      <c r="M26" s="4"/>
      <c r="N26" s="78"/>
      <c r="O26" s="78"/>
      <c r="P26" s="78" t="str">
        <f t="shared" si="4"/>
        <v>,zoki_receipt_type</v>
      </c>
      <c r="Q26" s="78" t="str">
        <f t="shared" si="0"/>
        <v>TEXT</v>
      </c>
      <c r="R26" s="78" t="str">
        <f t="shared" si="1"/>
        <v/>
      </c>
      <c r="S26" s="78" t="str">
        <f t="shared" si="5"/>
        <v/>
      </c>
      <c r="T26" s="78" t="str">
        <f t="shared" si="6"/>
        <v>-- 臓器提供者レセプト種別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milscm_2023_010.azn_202310_backup_merge_receiptd_tr.zoki_receipt_type IS '臓器提供者レセプト種別';</v>
      </c>
    </row>
    <row r="27" spans="1:45" s="25" customFormat="1" ht="56.25">
      <c r="A27" s="4"/>
      <c r="B27" s="21">
        <f t="shared" si="2"/>
        <v>15</v>
      </c>
      <c r="C27" s="13" t="s">
        <v>1215</v>
      </c>
      <c r="D27" s="13" t="s">
        <v>1216</v>
      </c>
      <c r="E27" s="7"/>
      <c r="F27" s="7" t="s">
        <v>868</v>
      </c>
      <c r="G27" s="7" t="str">
        <f t="shared" si="3"/>
        <v>text</v>
      </c>
      <c r="H27" s="58"/>
      <c r="I27" s="23"/>
      <c r="J27" s="24" t="s">
        <v>976</v>
      </c>
      <c r="M27" s="4"/>
      <c r="N27" s="78"/>
      <c r="O27" s="78"/>
      <c r="P27" s="78" t="str">
        <f t="shared" si="4"/>
        <v>,shinryo_ym_tr</v>
      </c>
      <c r="Q27" s="78" t="str">
        <f t="shared" si="0"/>
        <v>TEXT</v>
      </c>
      <c r="R27" s="78" t="str">
        <f t="shared" si="1"/>
        <v/>
      </c>
      <c r="S27" s="78" t="str">
        <f t="shared" si="5"/>
        <v/>
      </c>
      <c r="T27" s="78" t="str">
        <f t="shared" si="6"/>
        <v>-- 診療年月（臓器提供者レセプト情報）</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milscm_2023_010.azn_202310_backup_merge_receiptd_tr.shinryo_ym_tr IS '診療年月（臓器提供者レセプト情報）';</v>
      </c>
    </row>
    <row r="28" spans="1:45" s="25" customFormat="1">
      <c r="A28" s="4"/>
      <c r="B28" s="21">
        <f t="shared" si="2"/>
        <v>16</v>
      </c>
      <c r="C28" s="13" t="s">
        <v>967</v>
      </c>
      <c r="D28" s="13" t="s">
        <v>968</v>
      </c>
      <c r="E28" s="7"/>
      <c r="F28" s="7" t="s">
        <v>868</v>
      </c>
      <c r="G28" s="7" t="str">
        <f t="shared" si="3"/>
        <v>text</v>
      </c>
      <c r="H28" s="58"/>
      <c r="I28" s="23"/>
      <c r="J28" s="24"/>
      <c r="M28" s="4"/>
      <c r="N28" s="78"/>
      <c r="O28" s="78"/>
      <c r="P28" s="78" t="str">
        <f t="shared" si="4"/>
        <v>,reserve1</v>
      </c>
      <c r="Q28" s="78" t="str">
        <f t="shared" si="0"/>
        <v>TEXT</v>
      </c>
      <c r="R28" s="78" t="str">
        <f t="shared" si="1"/>
        <v/>
      </c>
      <c r="S28" s="78" t="str">
        <f t="shared" si="5"/>
        <v/>
      </c>
      <c r="T28" s="78" t="str">
        <f t="shared" si="6"/>
        <v>-- 予備1</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milscm_2023_010.azn_202310_backup_merge_receiptd_tr.reserve1 IS '予備1';</v>
      </c>
    </row>
    <row r="29" spans="1:45" s="25" customFormat="1">
      <c r="A29" s="4"/>
      <c r="B29" s="21">
        <f t="shared" si="2"/>
        <v>17</v>
      </c>
      <c r="C29" s="13" t="s">
        <v>1217</v>
      </c>
      <c r="D29" s="13" t="s">
        <v>990</v>
      </c>
      <c r="E29" s="7"/>
      <c r="F29" s="7" t="s">
        <v>868</v>
      </c>
      <c r="G29" s="7" t="str">
        <f t="shared" si="3"/>
        <v>text</v>
      </c>
      <c r="H29" s="58"/>
      <c r="I29" s="23"/>
      <c r="J29" s="24"/>
      <c r="M29" s="4"/>
      <c r="N29" s="78"/>
      <c r="O29" s="78"/>
      <c r="P29" s="78" t="str">
        <f t="shared" si="4"/>
        <v>,sex_kubun</v>
      </c>
      <c r="Q29" s="78" t="str">
        <f t="shared" si="0"/>
        <v>TEXT</v>
      </c>
      <c r="R29" s="78" t="str">
        <f t="shared" si="1"/>
        <v/>
      </c>
      <c r="S29" s="78" t="str">
        <f t="shared" si="5"/>
        <v/>
      </c>
      <c r="T29" s="78" t="str">
        <f t="shared" si="6"/>
        <v>-- 男女区分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milscm_2023_010.azn_202310_backup_merge_receiptd_tr.sex_kubun IS '男女区分';</v>
      </c>
    </row>
    <row r="30" spans="1:45" s="25" customFormat="1" ht="93.75">
      <c r="A30" s="4"/>
      <c r="B30" s="21">
        <f t="shared" si="2"/>
        <v>18</v>
      </c>
      <c r="C30" s="13" t="s">
        <v>570</v>
      </c>
      <c r="D30" s="13" t="s">
        <v>323</v>
      </c>
      <c r="E30" s="7"/>
      <c r="F30" s="7" t="s">
        <v>868</v>
      </c>
      <c r="G30" s="7" t="str">
        <f t="shared" si="3"/>
        <v>text</v>
      </c>
      <c r="H30" s="58"/>
      <c r="I30" s="23"/>
      <c r="J30" s="24" t="s">
        <v>1240</v>
      </c>
      <c r="M30" s="4"/>
      <c r="N30" s="78"/>
      <c r="O30" s="78"/>
      <c r="P30" s="78" t="str">
        <f t="shared" si="4"/>
        <v>,birthday</v>
      </c>
      <c r="Q30" s="78" t="str">
        <f t="shared" si="0"/>
        <v>TEXT</v>
      </c>
      <c r="R30" s="78" t="str">
        <f t="shared" si="1"/>
        <v/>
      </c>
      <c r="S30" s="78" t="str">
        <f t="shared" si="5"/>
        <v/>
      </c>
      <c r="T30" s="78" t="str">
        <f t="shared" si="6"/>
        <v>-- 生年月日</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milscm_2023_010.azn_202310_backup_merge_receiptd_tr.birthday IS '生年月日';</v>
      </c>
    </row>
    <row r="31" spans="1:45" s="25" customFormat="1">
      <c r="A31" s="4"/>
      <c r="B31" s="21">
        <f t="shared" si="2"/>
        <v>19</v>
      </c>
      <c r="C31" s="13" t="s">
        <v>1018</v>
      </c>
      <c r="D31" s="13" t="s">
        <v>1019</v>
      </c>
      <c r="E31" s="7"/>
      <c r="F31" s="7" t="s">
        <v>868</v>
      </c>
      <c r="G31" s="7" t="str">
        <f t="shared" si="3"/>
        <v>text</v>
      </c>
      <c r="H31" s="58"/>
      <c r="I31" s="23"/>
      <c r="J31" s="24"/>
      <c r="M31" s="4"/>
      <c r="N31" s="78"/>
      <c r="O31" s="78"/>
      <c r="P31" s="78" t="str">
        <f t="shared" si="4"/>
        <v>,reserve2</v>
      </c>
      <c r="Q31" s="78" t="str">
        <f t="shared" si="0"/>
        <v>TEXT</v>
      </c>
      <c r="R31" s="78" t="str">
        <f t="shared" si="1"/>
        <v/>
      </c>
      <c r="S31" s="78" t="str">
        <f t="shared" si="5"/>
        <v/>
      </c>
      <c r="T31" s="78" t="str">
        <f t="shared" si="6"/>
        <v>-- 予備2</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milscm_2023_010.azn_202310_backup_merge_receiptd_tr.reserve2 IS '予備2';</v>
      </c>
    </row>
    <row r="32" spans="1:45" s="25" customFormat="1" ht="75">
      <c r="A32" s="4"/>
      <c r="B32" s="21">
        <f t="shared" si="2"/>
        <v>20</v>
      </c>
      <c r="C32" s="13" t="s">
        <v>143</v>
      </c>
      <c r="D32" s="13" t="s">
        <v>156</v>
      </c>
      <c r="E32" s="7"/>
      <c r="F32" s="7" t="s">
        <v>868</v>
      </c>
      <c r="G32" s="7" t="str">
        <f t="shared" si="3"/>
        <v>text</v>
      </c>
      <c r="H32" s="58"/>
      <c r="I32" s="23"/>
      <c r="J32" s="24" t="s">
        <v>1111</v>
      </c>
      <c r="M32" s="4"/>
      <c r="N32" s="78"/>
      <c r="O32" s="78"/>
      <c r="P32" s="78" t="str">
        <f t="shared" si="4"/>
        <v>,nyuin_ymd</v>
      </c>
      <c r="Q32" s="78" t="str">
        <f t="shared" si="0"/>
        <v>TEXT</v>
      </c>
      <c r="R32" s="78" t="str">
        <f t="shared" si="1"/>
        <v/>
      </c>
      <c r="S32" s="78" t="str">
        <f t="shared" si="5"/>
        <v/>
      </c>
      <c r="T32" s="78" t="str">
        <f t="shared" si="6"/>
        <v>-- 入院年月日</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milscm_2023_010.azn_202310_backup_merge_receiptd_tr.nyuin_ymd IS '入院年月日';</v>
      </c>
    </row>
    <row r="33" spans="1:45" s="25" customFormat="1">
      <c r="A33" s="4"/>
      <c r="B33" s="21">
        <f t="shared" si="2"/>
        <v>21</v>
      </c>
      <c r="C33" s="13" t="s">
        <v>1218</v>
      </c>
      <c r="D33" s="13" t="s">
        <v>995</v>
      </c>
      <c r="E33" s="7"/>
      <c r="F33" s="7" t="s">
        <v>868</v>
      </c>
      <c r="G33" s="7" t="str">
        <f t="shared" si="3"/>
        <v>text</v>
      </c>
      <c r="H33" s="58"/>
      <c r="I33" s="23"/>
      <c r="J33" s="24" t="s">
        <v>1112</v>
      </c>
      <c r="M33" s="4"/>
      <c r="N33" s="78"/>
      <c r="O33" s="78"/>
      <c r="P33" s="78" t="str">
        <f t="shared" si="4"/>
        <v>,ward_kubun1</v>
      </c>
      <c r="Q33" s="78" t="str">
        <f t="shared" si="0"/>
        <v>TEXT</v>
      </c>
      <c r="R33" s="78" t="str">
        <f t="shared" si="1"/>
        <v/>
      </c>
      <c r="S33" s="78" t="str">
        <f t="shared" si="5"/>
        <v/>
      </c>
      <c r="T33" s="78" t="str">
        <f t="shared" si="6"/>
        <v>-- 病棟区分1</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milscm_2023_010.azn_202310_backup_merge_receiptd_tr.ward_kubun1 IS '病棟区分1';</v>
      </c>
    </row>
    <row r="34" spans="1:45" s="25" customFormat="1">
      <c r="A34" s="4"/>
      <c r="B34" s="21">
        <f t="shared" si="2"/>
        <v>22</v>
      </c>
      <c r="C34" s="13" t="s">
        <v>1219</v>
      </c>
      <c r="D34" s="13" t="s">
        <v>997</v>
      </c>
      <c r="E34" s="7"/>
      <c r="F34" s="7" t="s">
        <v>868</v>
      </c>
      <c r="G34" s="7" t="str">
        <f t="shared" si="3"/>
        <v>text</v>
      </c>
      <c r="H34" s="58"/>
      <c r="I34" s="23"/>
      <c r="J34" s="24"/>
      <c r="M34" s="4"/>
      <c r="N34" s="78"/>
      <c r="O34" s="78"/>
      <c r="P34" s="78" t="str">
        <f t="shared" si="4"/>
        <v>,ward_kubun2</v>
      </c>
      <c r="Q34" s="78" t="str">
        <f t="shared" si="0"/>
        <v>TEXT</v>
      </c>
      <c r="R34" s="78" t="str">
        <f t="shared" si="1"/>
        <v/>
      </c>
      <c r="S34" s="78" t="str">
        <f t="shared" si="5"/>
        <v/>
      </c>
      <c r="T34" s="78" t="str">
        <f t="shared" si="6"/>
        <v>-- 病棟区分2</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milscm_2023_010.azn_202310_backup_merge_receiptd_tr.ward_kubun2 IS '病棟区分2';</v>
      </c>
    </row>
    <row r="35" spans="1:45" s="25" customFormat="1">
      <c r="A35" s="4"/>
      <c r="B35" s="21">
        <f t="shared" si="2"/>
        <v>23</v>
      </c>
      <c r="C35" s="13" t="s">
        <v>1220</v>
      </c>
      <c r="D35" s="13" t="s">
        <v>999</v>
      </c>
      <c r="E35" s="7"/>
      <c r="F35" s="7" t="s">
        <v>868</v>
      </c>
      <c r="G35" s="7" t="str">
        <f t="shared" si="3"/>
        <v>text</v>
      </c>
      <c r="H35" s="58"/>
      <c r="I35" s="23"/>
      <c r="J35" s="24"/>
      <c r="M35" s="4"/>
      <c r="N35" s="78"/>
      <c r="O35" s="78"/>
      <c r="P35" s="78" t="str">
        <f t="shared" si="4"/>
        <v>,ward_kubun3</v>
      </c>
      <c r="Q35" s="78" t="str">
        <f t="shared" si="0"/>
        <v>TEXT</v>
      </c>
      <c r="R35" s="78" t="str">
        <f t="shared" si="1"/>
        <v/>
      </c>
      <c r="S35" s="78" t="str">
        <f t="shared" si="5"/>
        <v/>
      </c>
      <c r="T35" s="78" t="str">
        <f t="shared" si="6"/>
        <v>-- 病棟区分3</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milscm_2023_010.azn_202310_backup_merge_receiptd_tr.ward_kubun3 IS '病棟区分3';</v>
      </c>
    </row>
    <row r="36" spans="1:45" s="25" customFormat="1">
      <c r="A36" s="4"/>
      <c r="B36" s="21">
        <f t="shared" si="2"/>
        <v>24</v>
      </c>
      <c r="C36" s="13" t="s">
        <v>1221</v>
      </c>
      <c r="D36" s="13" t="s">
        <v>1001</v>
      </c>
      <c r="E36" s="7"/>
      <c r="F36" s="7" t="s">
        <v>868</v>
      </c>
      <c r="G36" s="7" t="str">
        <f t="shared" si="3"/>
        <v>text</v>
      </c>
      <c r="H36" s="58"/>
      <c r="I36" s="23"/>
      <c r="J36" s="24"/>
      <c r="M36" s="4"/>
      <c r="N36" s="78"/>
      <c r="O36" s="78"/>
      <c r="P36" s="78" t="str">
        <f t="shared" si="4"/>
        <v>,ward_kubun4</v>
      </c>
      <c r="Q36" s="78" t="str">
        <f t="shared" si="0"/>
        <v>TEXT</v>
      </c>
      <c r="R36" s="78" t="str">
        <f t="shared" si="1"/>
        <v/>
      </c>
      <c r="S36" s="78" t="str">
        <f t="shared" si="5"/>
        <v/>
      </c>
      <c r="T36" s="78" t="str">
        <f t="shared" si="6"/>
        <v>-- 病棟区分4</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milscm_2023_010.azn_202310_backup_merge_receiptd_tr.ward_kubun4 IS '病棟区分4';</v>
      </c>
    </row>
    <row r="37" spans="1:45" s="25" customFormat="1">
      <c r="A37" s="4"/>
      <c r="B37" s="21">
        <f t="shared" si="2"/>
        <v>25</v>
      </c>
      <c r="C37" s="13" t="s">
        <v>1020</v>
      </c>
      <c r="D37" s="13" t="s">
        <v>1021</v>
      </c>
      <c r="E37" s="7"/>
      <c r="F37" s="7" t="s">
        <v>868</v>
      </c>
      <c r="G37" s="7" t="str">
        <f t="shared" si="3"/>
        <v>text</v>
      </c>
      <c r="H37" s="58"/>
      <c r="I37" s="23"/>
      <c r="J37" s="24"/>
      <c r="M37" s="4"/>
      <c r="N37" s="78"/>
      <c r="O37" s="78"/>
      <c r="P37" s="78" t="str">
        <f t="shared" si="4"/>
        <v>,reserve3</v>
      </c>
      <c r="Q37" s="78" t="str">
        <f t="shared" si="0"/>
        <v>TEXT</v>
      </c>
      <c r="R37" s="78" t="str">
        <f t="shared" si="1"/>
        <v/>
      </c>
      <c r="S37" s="78" t="str">
        <f t="shared" si="5"/>
        <v/>
      </c>
      <c r="T37" s="78" t="str">
        <f t="shared" si="6"/>
        <v>-- 予備3</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milscm_2023_010.azn_202310_backup_merge_receiptd_tr.reserve3 IS '予備3';</v>
      </c>
    </row>
    <row r="38" spans="1:45" s="25" customFormat="1">
      <c r="A38" s="4"/>
      <c r="B38" s="21">
        <f t="shared" si="2"/>
        <v>26</v>
      </c>
      <c r="C38" s="13" t="s">
        <v>1222</v>
      </c>
      <c r="D38" s="13" t="s">
        <v>1005</v>
      </c>
      <c r="E38" s="7"/>
      <c r="F38" s="7" t="s">
        <v>868</v>
      </c>
      <c r="G38" s="7" t="str">
        <f t="shared" si="3"/>
        <v>text</v>
      </c>
      <c r="H38" s="58"/>
      <c r="I38" s="23"/>
      <c r="J38" s="24" t="s">
        <v>1113</v>
      </c>
      <c r="M38" s="4"/>
      <c r="N38" s="78"/>
      <c r="O38" s="78"/>
      <c r="P38" s="78" t="str">
        <f t="shared" si="4"/>
        <v>,receipt_tokki_code1</v>
      </c>
      <c r="Q38" s="78" t="str">
        <f t="shared" si="0"/>
        <v>TEXT</v>
      </c>
      <c r="R38" s="78" t="str">
        <f t="shared" si="1"/>
        <v/>
      </c>
      <c r="S38" s="78" t="str">
        <f t="shared" si="5"/>
        <v/>
      </c>
      <c r="T38" s="78" t="str">
        <f t="shared" si="6"/>
        <v>-- レセプト特記事項1</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milscm_2023_010.azn_202310_backup_merge_receiptd_tr.receipt_tokki_code1 IS 'レセプト特記事項1';</v>
      </c>
    </row>
    <row r="39" spans="1:45" s="25" customFormat="1">
      <c r="A39" s="4"/>
      <c r="B39" s="21">
        <f t="shared" si="2"/>
        <v>27</v>
      </c>
      <c r="C39" s="13" t="s">
        <v>1223</v>
      </c>
      <c r="D39" s="13" t="s">
        <v>1007</v>
      </c>
      <c r="E39" s="7"/>
      <c r="F39" s="7" t="s">
        <v>868</v>
      </c>
      <c r="G39" s="7" t="str">
        <f t="shared" si="3"/>
        <v>text</v>
      </c>
      <c r="H39" s="58"/>
      <c r="I39" s="23"/>
      <c r="J39" s="24"/>
      <c r="M39" s="4"/>
      <c r="N39" s="78"/>
      <c r="O39" s="78"/>
      <c r="P39" s="78" t="str">
        <f t="shared" si="4"/>
        <v>,receipt_tokki_code2</v>
      </c>
      <c r="Q39" s="78" t="str">
        <f t="shared" si="0"/>
        <v>TEXT</v>
      </c>
      <c r="R39" s="78" t="str">
        <f t="shared" si="1"/>
        <v/>
      </c>
      <c r="S39" s="78" t="str">
        <f t="shared" si="5"/>
        <v/>
      </c>
      <c r="T39" s="78" t="str">
        <f t="shared" si="6"/>
        <v>-- レセプト特記事項2</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milscm_2023_010.azn_202310_backup_merge_receiptd_tr.receipt_tokki_code2 IS 'レセプト特記事項2';</v>
      </c>
    </row>
    <row r="40" spans="1:45" s="25" customFormat="1">
      <c r="A40" s="4"/>
      <c r="B40" s="21">
        <f t="shared" si="2"/>
        <v>28</v>
      </c>
      <c r="C40" s="13" t="s">
        <v>1224</v>
      </c>
      <c r="D40" s="13" t="s">
        <v>1009</v>
      </c>
      <c r="E40" s="7"/>
      <c r="F40" s="7" t="s">
        <v>868</v>
      </c>
      <c r="G40" s="7" t="str">
        <f t="shared" si="3"/>
        <v>text</v>
      </c>
      <c r="H40" s="58"/>
      <c r="I40" s="23"/>
      <c r="J40" s="24"/>
      <c r="M40" s="4"/>
      <c r="N40" s="78"/>
      <c r="O40" s="78"/>
      <c r="P40" s="78" t="str">
        <f t="shared" si="4"/>
        <v>,receipt_tokki_code3</v>
      </c>
      <c r="Q40" s="78" t="str">
        <f t="shared" si="0"/>
        <v>TEXT</v>
      </c>
      <c r="R40" s="78" t="str">
        <f t="shared" si="1"/>
        <v/>
      </c>
      <c r="S40" s="78" t="str">
        <f t="shared" si="5"/>
        <v/>
      </c>
      <c r="T40" s="78" t="str">
        <f t="shared" si="6"/>
        <v>-- レセプト特記事項3</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milscm_2023_010.azn_202310_backup_merge_receiptd_tr.receipt_tokki_code3 IS 'レセプト特記事項3';</v>
      </c>
    </row>
    <row r="41" spans="1:45" s="25" customFormat="1">
      <c r="A41" s="4"/>
      <c r="B41" s="21">
        <f t="shared" si="2"/>
        <v>29</v>
      </c>
      <c r="C41" s="13" t="s">
        <v>1225</v>
      </c>
      <c r="D41" s="13" t="s">
        <v>1011</v>
      </c>
      <c r="E41" s="7"/>
      <c r="F41" s="7" t="s">
        <v>868</v>
      </c>
      <c r="G41" s="7" t="str">
        <f t="shared" si="3"/>
        <v>text</v>
      </c>
      <c r="H41" s="58"/>
      <c r="I41" s="23"/>
      <c r="J41" s="24"/>
      <c r="M41" s="4"/>
      <c r="N41" s="78"/>
      <c r="O41" s="78"/>
      <c r="P41" s="78" t="str">
        <f t="shared" si="4"/>
        <v>,receipt_tokki_code4</v>
      </c>
      <c r="Q41" s="78" t="str">
        <f t="shared" si="0"/>
        <v>TEXT</v>
      </c>
      <c r="R41" s="78" t="str">
        <f t="shared" si="1"/>
        <v/>
      </c>
      <c r="S41" s="78" t="str">
        <f t="shared" si="5"/>
        <v/>
      </c>
      <c r="T41" s="78" t="str">
        <f t="shared" si="6"/>
        <v>-- レセプト特記事項4</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milscm_2023_010.azn_202310_backup_merge_receiptd_tr.receipt_tokki_code4 IS 'レセプト特記事項4';</v>
      </c>
    </row>
    <row r="42" spans="1:45" s="25" customFormat="1">
      <c r="A42" s="4"/>
      <c r="B42" s="21">
        <f t="shared" si="2"/>
        <v>30</v>
      </c>
      <c r="C42" s="13" t="s">
        <v>1226</v>
      </c>
      <c r="D42" s="13" t="s">
        <v>1013</v>
      </c>
      <c r="E42" s="7"/>
      <c r="F42" s="7" t="s">
        <v>868</v>
      </c>
      <c r="G42" s="7" t="str">
        <f t="shared" si="3"/>
        <v>text</v>
      </c>
      <c r="H42" s="58"/>
      <c r="I42" s="23"/>
      <c r="J42" s="24"/>
      <c r="M42" s="4"/>
      <c r="N42" s="78"/>
      <c r="O42" s="78"/>
      <c r="P42" s="78" t="str">
        <f t="shared" si="4"/>
        <v>,receipt_tokki_code5</v>
      </c>
      <c r="Q42" s="78" t="str">
        <f t="shared" si="0"/>
        <v>TEXT</v>
      </c>
      <c r="R42" s="78" t="str">
        <f t="shared" si="1"/>
        <v/>
      </c>
      <c r="S42" s="78" t="str">
        <f t="shared" si="5"/>
        <v/>
      </c>
      <c r="T42" s="78" t="str">
        <f t="shared" si="6"/>
        <v>-- レセプト特記事項5</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milscm_2023_010.azn_202310_backup_merge_receiptd_tr.receipt_tokki_code5 IS 'レセプト特記事項5';</v>
      </c>
    </row>
    <row r="43" spans="1:45" s="25" customFormat="1">
      <c r="A43" s="4"/>
      <c r="B43" s="21">
        <f t="shared" si="2"/>
        <v>31</v>
      </c>
      <c r="C43" s="13" t="s">
        <v>1227</v>
      </c>
      <c r="D43" s="13" t="s">
        <v>1228</v>
      </c>
      <c r="E43" s="7"/>
      <c r="F43" s="7" t="s">
        <v>868</v>
      </c>
      <c r="G43" s="7" t="str">
        <f t="shared" si="3"/>
        <v>text</v>
      </c>
      <c r="H43" s="58"/>
      <c r="I43" s="23"/>
      <c r="J43" s="24"/>
      <c r="M43" s="4"/>
      <c r="N43" s="78"/>
      <c r="O43" s="78"/>
      <c r="P43" s="78" t="str">
        <f t="shared" si="4"/>
        <v>,reserve4</v>
      </c>
      <c r="Q43" s="78" t="str">
        <f t="shared" si="0"/>
        <v>TEXT</v>
      </c>
      <c r="R43" s="78" t="str">
        <f t="shared" si="1"/>
        <v/>
      </c>
      <c r="S43" s="78" t="str">
        <f t="shared" si="5"/>
        <v/>
      </c>
      <c r="T43" s="78" t="str">
        <f t="shared" si="6"/>
        <v>-- 予備4</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milscm_2023_010.azn_202310_backup_merge_receiptd_tr.reserve4 IS '予備4';</v>
      </c>
    </row>
    <row r="44" spans="1:45" s="25" customFormat="1" ht="31.5">
      <c r="A44" s="4"/>
      <c r="B44" s="21">
        <f t="shared" si="2"/>
        <v>32</v>
      </c>
      <c r="C44" s="13" t="s">
        <v>1229</v>
      </c>
      <c r="D44" s="13" t="s">
        <v>1230</v>
      </c>
      <c r="E44" s="7"/>
      <c r="F44" s="7" t="s">
        <v>868</v>
      </c>
      <c r="G44" s="7" t="str">
        <f t="shared" si="3"/>
        <v>text</v>
      </c>
      <c r="H44" s="58"/>
      <c r="I44" s="23"/>
      <c r="J44" s="24"/>
      <c r="M44" s="4"/>
      <c r="N44" s="78"/>
      <c r="O44" s="78"/>
      <c r="P44" s="78" t="str">
        <f t="shared" si="4"/>
        <v>,karute_no_tr</v>
      </c>
      <c r="Q44" s="78" t="str">
        <f t="shared" si="0"/>
        <v>TEXT</v>
      </c>
      <c r="R44" s="78" t="str">
        <f t="shared" si="1"/>
        <v/>
      </c>
      <c r="S44" s="78" t="str">
        <f t="shared" si="5"/>
        <v/>
      </c>
      <c r="T44" s="78" t="str">
        <f t="shared" si="6"/>
        <v>-- カルテ番号等（臓器提供者レセプト情報）</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milscm_2023_010.azn_202310_backup_merge_receiptd_tr.karute_no_tr IS 'カルテ番号等（臓器提供者レセプト情報）';</v>
      </c>
    </row>
    <row r="45" spans="1:45" s="25" customFormat="1">
      <c r="A45" s="4"/>
      <c r="B45" s="21">
        <f t="shared" si="2"/>
        <v>33</v>
      </c>
      <c r="C45" s="13" t="s">
        <v>1231</v>
      </c>
      <c r="D45" s="13" t="s">
        <v>1017</v>
      </c>
      <c r="E45" s="7"/>
      <c r="F45" s="7" t="s">
        <v>205</v>
      </c>
      <c r="G45" s="7" t="str">
        <f t="shared" si="3"/>
        <v>integer</v>
      </c>
      <c r="H45" s="58"/>
      <c r="I45" s="23"/>
      <c r="J45" s="24"/>
      <c r="M45" s="4"/>
      <c r="N45" s="78"/>
      <c r="O45" s="78"/>
      <c r="P45" s="78" t="str">
        <f t="shared" si="4"/>
        <v>,waribiki_tensu</v>
      </c>
      <c r="Q45" s="78" t="str">
        <f t="shared" si="0"/>
        <v>INTEGER</v>
      </c>
      <c r="R45" s="78" t="str">
        <f t="shared" si="1"/>
        <v/>
      </c>
      <c r="S45" s="78" t="str">
        <f t="shared" si="5"/>
        <v/>
      </c>
      <c r="T45" s="78" t="str">
        <f t="shared" si="6"/>
        <v>-- 割引点数単価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milscm_2023_010.azn_202310_backup_merge_receiptd_tr.waribiki_tensu IS '割引点数単価';</v>
      </c>
    </row>
    <row r="46" spans="1:45" s="25" customFormat="1">
      <c r="A46" s="4"/>
      <c r="B46" s="21">
        <f t="shared" si="2"/>
        <v>34</v>
      </c>
      <c r="C46" s="13" t="s">
        <v>1232</v>
      </c>
      <c r="D46" s="13" t="s">
        <v>1233</v>
      </c>
      <c r="E46" s="7"/>
      <c r="F46" s="7" t="s">
        <v>868</v>
      </c>
      <c r="G46" s="7" t="str">
        <f t="shared" si="3"/>
        <v>text</v>
      </c>
      <c r="H46" s="58"/>
      <c r="I46" s="23"/>
      <c r="J46" s="24"/>
      <c r="M46" s="4"/>
      <c r="N46" s="78"/>
      <c r="O46" s="78"/>
      <c r="P46" s="78" t="str">
        <f t="shared" si="4"/>
        <v>,reserve5</v>
      </c>
      <c r="Q46" s="78" t="str">
        <f t="shared" si="0"/>
        <v>TEXT</v>
      </c>
      <c r="R46" s="78" t="str">
        <f t="shared" si="1"/>
        <v/>
      </c>
      <c r="S46" s="78" t="str">
        <f t="shared" si="5"/>
        <v/>
      </c>
      <c r="T46" s="78" t="str">
        <f t="shared" si="6"/>
        <v>-- 予備5</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milscm_2023_010.azn_202310_backup_merge_receiptd_tr.reserve5 IS '予備5';</v>
      </c>
    </row>
    <row r="47" spans="1:45" s="25" customFormat="1">
      <c r="A47" s="4"/>
      <c r="B47" s="21">
        <f t="shared" si="2"/>
        <v>35</v>
      </c>
      <c r="C47" s="13" t="s">
        <v>1234</v>
      </c>
      <c r="D47" s="13" t="s">
        <v>1235</v>
      </c>
      <c r="E47" s="7"/>
      <c r="F47" s="7" t="s">
        <v>868</v>
      </c>
      <c r="G47" s="7" t="str">
        <f t="shared" si="3"/>
        <v>text</v>
      </c>
      <c r="H47" s="58"/>
      <c r="I47" s="23"/>
      <c r="J47" s="24"/>
      <c r="M47" s="4"/>
      <c r="N47" s="78"/>
      <c r="O47" s="78"/>
      <c r="P47" s="78" t="str">
        <f t="shared" si="4"/>
        <v>,reserve6</v>
      </c>
      <c r="Q47" s="78" t="str">
        <f t="shared" si="0"/>
        <v>TEXT</v>
      </c>
      <c r="R47" s="78" t="str">
        <f t="shared" si="1"/>
        <v/>
      </c>
      <c r="S47" s="78" t="str">
        <f t="shared" si="5"/>
        <v/>
      </c>
      <c r="T47" s="78" t="str">
        <f t="shared" si="6"/>
        <v>-- 予備6</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milscm_2023_010.azn_202310_backup_merge_receiptd_tr.reserve6 IS '予備6';</v>
      </c>
    </row>
    <row r="48" spans="1:45" s="25" customFormat="1" ht="19.5" thickBot="1">
      <c r="A48" s="4"/>
      <c r="B48" s="27">
        <f>ROW()-12</f>
        <v>36</v>
      </c>
      <c r="C48" s="57" t="s">
        <v>1236</v>
      </c>
      <c r="D48" s="57" t="s">
        <v>1237</v>
      </c>
      <c r="E48" s="56"/>
      <c r="F48" s="56" t="s">
        <v>868</v>
      </c>
      <c r="G48" s="56" t="str">
        <f t="shared" si="3"/>
        <v>text</v>
      </c>
      <c r="H48" s="59"/>
      <c r="I48" s="60"/>
      <c r="J48" s="64"/>
      <c r="N48" s="78"/>
      <c r="O48" s="78"/>
      <c r="P48" s="78" t="str">
        <f t="shared" si="4"/>
        <v>,reserve7</v>
      </c>
      <c r="Q48" s="78" t="str">
        <f t="shared" si="0"/>
        <v>TEXT</v>
      </c>
      <c r="R48" s="78" t="str">
        <f t="shared" si="1"/>
        <v/>
      </c>
      <c r="S48" s="78" t="str">
        <f t="shared" si="5"/>
        <v/>
      </c>
      <c r="T48" s="78" t="str">
        <f t="shared" si="6"/>
        <v>-- 予備7</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milscm_2023_010.azn_202310_backup_merge_receiptd_tr.reserve7 IS '予備7';</v>
      </c>
    </row>
    <row r="49" spans="12:52">
      <c r="L49" s="25"/>
      <c r="M49" s="25"/>
      <c r="N49" s="78" t="s">
        <v>142</v>
      </c>
      <c r="O49" s="78"/>
      <c r="P49" s="78"/>
      <c r="Q49" s="78"/>
      <c r="R49" s="78"/>
      <c r="S49" s="78"/>
      <c r="T49" s="78"/>
      <c r="V49" s="25"/>
      <c r="W49" s="25"/>
      <c r="X49" s="25"/>
      <c r="Y49" s="25"/>
      <c r="Z49" s="25"/>
      <c r="AJ49" s="78"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D00-000000000000}"/>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ENT_01_C4-01</v>
      </c>
      <c r="E6" s="239"/>
      <c r="F6" s="239"/>
      <c r="G6" s="239"/>
      <c r="H6" s="239"/>
      <c r="I6" s="239"/>
      <c r="J6" s="240"/>
    </row>
    <row r="7" spans="1:45">
      <c r="B7" s="228" t="s">
        <v>115</v>
      </c>
      <c r="C7" s="229"/>
      <c r="D7" s="230" t="s">
        <v>1286</v>
      </c>
      <c r="E7" s="231"/>
      <c r="F7" s="231"/>
      <c r="G7" s="231"/>
      <c r="H7" s="231"/>
      <c r="I7" s="231"/>
      <c r="J7" s="232"/>
    </row>
    <row r="8" spans="1:45">
      <c r="B8" s="228" t="s">
        <v>116</v>
      </c>
      <c r="C8" s="229"/>
      <c r="D8" s="230" t="str">
        <f>エンティティ一覧!AE2&amp;"_"&amp;D5&amp;"_merge_mml_pi_master"</f>
        <v>azn_202310_backup_merge_mml_pi_master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milscm_2023_010.azn_202310_backup_merge_mml_pi_master;</v>
      </c>
      <c r="O10" s="78"/>
      <c r="P10" s="78"/>
      <c r="Q10" s="78"/>
      <c r="R10" s="78"/>
      <c r="S10" s="78"/>
      <c r="T10" s="78"/>
      <c r="AJ10" s="78" t="str">
        <f>"ALTER TABLE ONLY "&amp;エンティティ一覧!$O$2&amp;"."&amp;D$8</f>
        <v>ALTER TABLE ONLY milscm_2023_010.azn_202310_backup_merge_mml_pi_master</v>
      </c>
      <c r="AS10" s="78" t="str">
        <f>"ALTER TABLE "&amp;エンティティ一覧!$O$2&amp;"."&amp;D$8&amp;" OWNER TO pgmisgrp1;"</f>
        <v>ALTER TABLE milscm_2023_010.azn_202310_backup_merge_mml_pi_master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milscm_2023_010.azn_202310_backup_merge_mml_pi_master</v>
      </c>
      <c r="O11" s="78"/>
      <c r="P11" s="78"/>
      <c r="Q11" s="78"/>
      <c r="R11" s="78"/>
      <c r="S11" s="78"/>
      <c r="T11" s="78"/>
      <c r="AJ11" s="78" t="str">
        <f>"ADD CONSTRAINT "&amp;D$8&amp;"_pkey PRIMARY KEY"</f>
        <v>ADD CONSTRAINT azn_202310_backup_merge_mml_pi_master_pkey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milscm_2023_010.azn_202310_backup_merge_mml_pi_master IS 'バックアップ_患者情報モジュール_患者情報';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milscm_2023_010.azn_202310_backup_merge_mml_pi_master.torikomi_ym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1327</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milscm_2023_010.azn_202310_backup_merge_mml_pi_master.mil_karute_id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milscm_2023_010.azn_202310_backup_merge_mml_pi_master.facility_id IS '施設ID';</v>
      </c>
    </row>
    <row r="16" spans="1:45" s="25" customFormat="1" ht="75">
      <c r="A16" s="4"/>
      <c r="B16" s="21">
        <f t="shared" si="2"/>
        <v>4</v>
      </c>
      <c r="C16" s="13" t="s">
        <v>1287</v>
      </c>
      <c r="D16" s="13" t="s">
        <v>1288</v>
      </c>
      <c r="E16" s="7"/>
      <c r="F16" s="7" t="s">
        <v>868</v>
      </c>
      <c r="G16" s="7" t="str">
        <f t="shared" si="3"/>
        <v>text</v>
      </c>
      <c r="H16" s="58"/>
      <c r="I16" s="23" t="s">
        <v>127</v>
      </c>
      <c r="J16" s="24" t="s">
        <v>1329</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milscm_2023_010.azn_202310_backup_merge_mml_pi_master.shinryo_ymd IS '診療年月日';</v>
      </c>
    </row>
    <row r="17" spans="1:45" s="25" customFormat="1">
      <c r="A17" s="4"/>
      <c r="B17" s="21">
        <f t="shared" si="2"/>
        <v>5</v>
      </c>
      <c r="C17" s="13" t="s">
        <v>1289</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milscm_2023_010.azn_202310_backup_merge_mml_pi_master.data_type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milscm_2023_010.azn_202310_backup_merge_mml_pi_master.master_id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milscm_2023_010.azn_202310_backup_merge_mml_pi_master.uid IS '文書ユニークID';</v>
      </c>
    </row>
    <row r="20" spans="1:45" s="25" customFormat="1">
      <c r="A20" s="4"/>
      <c r="B20" s="21">
        <f t="shared" si="2"/>
        <v>8</v>
      </c>
      <c r="C20" s="13" t="s">
        <v>1294</v>
      </c>
      <c r="D20" s="13" t="s">
        <v>1295</v>
      </c>
      <c r="E20" s="7" t="s">
        <v>127</v>
      </c>
      <c r="F20" s="7" t="s">
        <v>205</v>
      </c>
      <c r="G20" s="7" t="str">
        <f t="shared" si="3"/>
        <v>integer</v>
      </c>
      <c r="H20" s="58"/>
      <c r="I20" s="23" t="s">
        <v>127</v>
      </c>
      <c r="J20" s="24" t="s">
        <v>1334</v>
      </c>
      <c r="M20" s="4"/>
      <c r="N20" s="78"/>
      <c r="O20" s="78"/>
      <c r="P20" s="78" t="str">
        <f t="shared" si="4"/>
        <v>,patient_seq</v>
      </c>
      <c r="Q20" s="78" t="str">
        <f t="shared" si="0"/>
        <v>INTEGER</v>
      </c>
      <c r="R20" s="78" t="str">
        <f t="shared" si="1"/>
        <v/>
      </c>
      <c r="S20" s="78" t="str">
        <f t="shared" si="5"/>
        <v>NOT NULL</v>
      </c>
      <c r="T20" s="78" t="str">
        <f t="shared" si="6"/>
        <v>-- 患者情報SEQ</v>
      </c>
      <c r="U20" s="4"/>
      <c r="AA20" s="4"/>
      <c r="AB20" s="4"/>
      <c r="AC20" s="4"/>
      <c r="AD20" s="4"/>
      <c r="AE20" s="4"/>
      <c r="AF20" s="4"/>
      <c r="AG20" s="4"/>
      <c r="AH20" s="4"/>
      <c r="AI20" s="4"/>
      <c r="AJ20" s="78" t="str">
        <f>IF(E20="○",IF(COUNTA(E$13:E20)=1,"",",")&amp;D20,"")</f>
        <v>,patient_seq</v>
      </c>
      <c r="AK20" s="4"/>
      <c r="AL20" s="4"/>
      <c r="AM20" s="4"/>
      <c r="AN20" s="4"/>
      <c r="AO20" s="4"/>
      <c r="AP20" s="4"/>
      <c r="AQ20" s="4"/>
      <c r="AR20" s="4"/>
      <c r="AS20" s="78" t="str">
        <f>"COMMENT ON COLUMN "&amp;エンティティ一覧!$O$2&amp;"."&amp;D$8&amp;"."&amp;D20&amp;" IS '"&amp;C20&amp;"';"</f>
        <v>COMMENT ON COLUMN milscm_2023_010.azn_202310_backup_merge_mml_pi_master.patient_seq IS '患者情報SEQ';</v>
      </c>
    </row>
    <row r="21" spans="1:45" s="25" customFormat="1">
      <c r="A21" s="4"/>
      <c r="B21" s="21">
        <f t="shared" si="2"/>
        <v>9</v>
      </c>
      <c r="C21" s="13" t="s">
        <v>1296</v>
      </c>
      <c r="D21" s="13" t="s">
        <v>1297</v>
      </c>
      <c r="E21" s="7"/>
      <c r="F21" s="7" t="s">
        <v>868</v>
      </c>
      <c r="G21" s="7" t="str">
        <f t="shared" si="3"/>
        <v>text</v>
      </c>
      <c r="H21" s="58"/>
      <c r="I21" s="23"/>
      <c r="J21" s="24"/>
      <c r="M21" s="4"/>
      <c r="N21" s="78"/>
      <c r="O21" s="78"/>
      <c r="P21" s="78" t="str">
        <f t="shared" si="4"/>
        <v>,main_id</v>
      </c>
      <c r="Q21" s="78" t="str">
        <f t="shared" si="0"/>
        <v>TEXT</v>
      </c>
      <c r="R21" s="78" t="str">
        <f t="shared" si="1"/>
        <v/>
      </c>
      <c r="S21" s="78" t="str">
        <f t="shared" si="5"/>
        <v/>
      </c>
      <c r="T21" s="78" t="str">
        <f t="shared" si="6"/>
        <v>-- 主ID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milscm_2023_010.azn_202310_backup_merge_mml_pi_master.main_id IS '主ID';</v>
      </c>
    </row>
    <row r="22" spans="1:45" s="25" customFormat="1">
      <c r="A22" s="4"/>
      <c r="B22" s="21">
        <f t="shared" si="2"/>
        <v>10</v>
      </c>
      <c r="C22" s="13" t="s">
        <v>1298</v>
      </c>
      <c r="D22" s="13" t="s">
        <v>1299</v>
      </c>
      <c r="E22" s="7"/>
      <c r="F22" s="7" t="s">
        <v>868</v>
      </c>
      <c r="G22" s="7" t="str">
        <f t="shared" si="3"/>
        <v>text</v>
      </c>
      <c r="H22" s="58"/>
      <c r="I22" s="23"/>
      <c r="J22" s="24"/>
      <c r="M22" s="4"/>
      <c r="N22" s="78"/>
      <c r="O22" s="78"/>
      <c r="P22" s="78" t="str">
        <f t="shared" si="4"/>
        <v>,main_id_type_code</v>
      </c>
      <c r="Q22" s="78" t="str">
        <f t="shared" si="0"/>
        <v>TEXT</v>
      </c>
      <c r="R22" s="78" t="str">
        <f t="shared" si="1"/>
        <v/>
      </c>
      <c r="S22" s="78" t="str">
        <f t="shared" si="5"/>
        <v/>
      </c>
      <c r="T22" s="78" t="str">
        <f t="shared" si="6"/>
        <v>-- 主IDの種類コード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milscm_2023_010.azn_202310_backup_merge_mml_pi_master.main_id_type_code IS '主IDの種類コード';</v>
      </c>
    </row>
    <row r="23" spans="1:45" s="25" customFormat="1">
      <c r="A23" s="4"/>
      <c r="B23" s="21">
        <f t="shared" si="2"/>
        <v>11</v>
      </c>
      <c r="C23" s="13" t="s">
        <v>1300</v>
      </c>
      <c r="D23" s="13" t="s">
        <v>1301</v>
      </c>
      <c r="E23" s="7"/>
      <c r="F23" s="7" t="s">
        <v>868</v>
      </c>
      <c r="G23" s="7" t="str">
        <f t="shared" si="3"/>
        <v>text</v>
      </c>
      <c r="H23" s="58"/>
      <c r="I23" s="23"/>
      <c r="J23" s="24"/>
      <c r="M23" s="4"/>
      <c r="N23" s="78"/>
      <c r="O23" s="78"/>
      <c r="P23" s="78" t="str">
        <f t="shared" si="4"/>
        <v>,main_id_name</v>
      </c>
      <c r="Q23" s="78" t="str">
        <f t="shared" si="0"/>
        <v>TEXT</v>
      </c>
      <c r="R23" s="78" t="str">
        <f t="shared" si="1"/>
        <v/>
      </c>
      <c r="S23" s="78" t="str">
        <f t="shared" si="5"/>
        <v/>
      </c>
      <c r="T23" s="78" t="str">
        <f t="shared" si="6"/>
        <v>-- 主IDテーブル名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milscm_2023_010.azn_202310_backup_merge_mml_pi_master.main_id_name IS '主IDテーブル名';</v>
      </c>
    </row>
    <row r="24" spans="1:45" s="25" customFormat="1">
      <c r="A24" s="4"/>
      <c r="B24" s="21">
        <f t="shared" si="2"/>
        <v>12</v>
      </c>
      <c r="C24" s="13" t="s">
        <v>1302</v>
      </c>
      <c r="D24" s="13" t="s">
        <v>1303</v>
      </c>
      <c r="E24" s="7"/>
      <c r="F24" s="7" t="s">
        <v>868</v>
      </c>
      <c r="G24" s="7" t="str">
        <f t="shared" si="3"/>
        <v>text</v>
      </c>
      <c r="H24" s="58"/>
      <c r="I24" s="23"/>
      <c r="J24" s="24"/>
      <c r="M24" s="4"/>
      <c r="N24" s="78"/>
      <c r="O24" s="78"/>
      <c r="P24" s="78" t="str">
        <f t="shared" si="4"/>
        <v>,main_id_check_digit</v>
      </c>
      <c r="Q24" s="78" t="str">
        <f t="shared" si="0"/>
        <v>TEXT</v>
      </c>
      <c r="R24" s="78" t="str">
        <f t="shared" si="1"/>
        <v/>
      </c>
      <c r="S24" s="78" t="str">
        <f t="shared" si="5"/>
        <v/>
      </c>
      <c r="T24" s="78" t="str">
        <f t="shared" si="6"/>
        <v>-- 主IDチェックディジット</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milscm_2023_010.azn_202310_backup_merge_mml_pi_master.main_id_check_digit IS '主IDチェックディジット';</v>
      </c>
    </row>
    <row r="25" spans="1:45" s="25" customFormat="1" ht="56.25">
      <c r="A25" s="4"/>
      <c r="B25" s="21">
        <f t="shared" si="2"/>
        <v>13</v>
      </c>
      <c r="C25" s="13" t="s">
        <v>1304</v>
      </c>
      <c r="D25" s="13" t="s">
        <v>1305</v>
      </c>
      <c r="E25" s="7"/>
      <c r="F25" s="7" t="s">
        <v>868</v>
      </c>
      <c r="G25" s="7" t="str">
        <f t="shared" si="3"/>
        <v>text</v>
      </c>
      <c r="H25" s="58"/>
      <c r="I25" s="23"/>
      <c r="J25" s="24" t="s">
        <v>1335</v>
      </c>
      <c r="M25" s="4"/>
      <c r="N25" s="78"/>
      <c r="O25" s="78"/>
      <c r="P25" s="78" t="str">
        <f t="shared" si="4"/>
        <v>,main_id_check_digit_system</v>
      </c>
      <c r="Q25" s="78" t="str">
        <f t="shared" si="0"/>
        <v>TEXT</v>
      </c>
      <c r="R25" s="78" t="str">
        <f t="shared" si="1"/>
        <v/>
      </c>
      <c r="S25" s="78" t="str">
        <f t="shared" si="5"/>
        <v/>
      </c>
      <c r="T25" s="78" t="str">
        <f t="shared" si="6"/>
        <v>-- 主IDチェックディジット方式</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milscm_2023_010.azn_202310_backup_merge_mml_pi_master.main_id_check_digit_system IS '主IDチェックディジット方式';</v>
      </c>
    </row>
    <row r="26" spans="1:45" s="25" customFormat="1" ht="37.5">
      <c r="A26" s="4"/>
      <c r="B26" s="21">
        <f t="shared" si="2"/>
        <v>14</v>
      </c>
      <c r="C26" s="13" t="s">
        <v>570</v>
      </c>
      <c r="D26" s="13" t="s">
        <v>323</v>
      </c>
      <c r="E26" s="7"/>
      <c r="F26" s="7" t="s">
        <v>868</v>
      </c>
      <c r="G26" s="7" t="str">
        <f t="shared" si="3"/>
        <v>text</v>
      </c>
      <c r="H26" s="58"/>
      <c r="I26" s="23"/>
      <c r="J26" s="24" t="s">
        <v>1336</v>
      </c>
      <c r="M26" s="4"/>
      <c r="N26" s="78"/>
      <c r="O26" s="78"/>
      <c r="P26" s="78" t="str">
        <f t="shared" si="4"/>
        <v>,birthday</v>
      </c>
      <c r="Q26" s="78" t="str">
        <f t="shared" si="0"/>
        <v>TEXT</v>
      </c>
      <c r="R26" s="78" t="str">
        <f t="shared" si="1"/>
        <v/>
      </c>
      <c r="S26" s="78" t="str">
        <f t="shared" si="5"/>
        <v/>
      </c>
      <c r="T26" s="78" t="str">
        <f t="shared" si="6"/>
        <v>-- 生年月日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milscm_2023_010.azn_202310_backup_merge_mml_pi_master.birthday IS '生年月日';</v>
      </c>
    </row>
    <row r="27" spans="1:45" s="25" customFormat="1" ht="37.5">
      <c r="A27" s="4"/>
      <c r="B27" s="21">
        <f t="shared" si="2"/>
        <v>15</v>
      </c>
      <c r="C27" s="13" t="s">
        <v>572</v>
      </c>
      <c r="D27" s="13" t="s">
        <v>1306</v>
      </c>
      <c r="E27" s="7"/>
      <c r="F27" s="7" t="s">
        <v>868</v>
      </c>
      <c r="G27" s="7" t="str">
        <f t="shared" si="3"/>
        <v>text</v>
      </c>
      <c r="H27" s="58"/>
      <c r="I27" s="23"/>
      <c r="J27" s="24" t="s">
        <v>1337</v>
      </c>
      <c r="M27" s="4"/>
      <c r="N27" s="78"/>
      <c r="O27" s="78"/>
      <c r="P27" s="78" t="str">
        <f t="shared" si="4"/>
        <v>,sex</v>
      </c>
      <c r="Q27" s="78" t="str">
        <f t="shared" si="0"/>
        <v>TEXT</v>
      </c>
      <c r="R27" s="78" t="str">
        <f t="shared" si="1"/>
        <v/>
      </c>
      <c r="S27" s="78" t="str">
        <f t="shared" si="5"/>
        <v/>
      </c>
      <c r="T27" s="78" t="str">
        <f t="shared" si="6"/>
        <v>-- 性別</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milscm_2023_010.azn_202310_backup_merge_mml_pi_master.sex IS '性別';</v>
      </c>
    </row>
    <row r="28" spans="1:45" s="25" customFormat="1">
      <c r="A28" s="4"/>
      <c r="B28" s="21">
        <f t="shared" si="2"/>
        <v>16</v>
      </c>
      <c r="C28" s="13" t="s">
        <v>989</v>
      </c>
      <c r="D28" s="13" t="s">
        <v>990</v>
      </c>
      <c r="E28" s="7"/>
      <c r="F28" s="7" t="s">
        <v>868</v>
      </c>
      <c r="G28" s="7" t="str">
        <f t="shared" si="3"/>
        <v>text</v>
      </c>
      <c r="H28" s="58"/>
      <c r="I28" s="23"/>
      <c r="J28" s="24" t="s">
        <v>1338</v>
      </c>
      <c r="M28" s="4"/>
      <c r="N28" s="78"/>
      <c r="O28" s="78"/>
      <c r="P28" s="78" t="str">
        <f t="shared" si="4"/>
        <v>,sex_kubun</v>
      </c>
      <c r="Q28" s="78" t="str">
        <f t="shared" si="0"/>
        <v>TEXT</v>
      </c>
      <c r="R28" s="78" t="str">
        <f t="shared" si="1"/>
        <v/>
      </c>
      <c r="S28" s="78" t="str">
        <f t="shared" si="5"/>
        <v/>
      </c>
      <c r="T28" s="78" t="str">
        <f t="shared" si="6"/>
        <v>-- 男女区分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milscm_2023_010.azn_202310_backup_merge_mml_pi_master.sex_kubun IS '男女区分';</v>
      </c>
    </row>
    <row r="29" spans="1:45" s="25" customFormat="1" ht="37.5">
      <c r="A29" s="4"/>
      <c r="B29" s="21">
        <f t="shared" si="2"/>
        <v>17</v>
      </c>
      <c r="C29" s="13" t="s">
        <v>1307</v>
      </c>
      <c r="D29" s="13" t="s">
        <v>1308</v>
      </c>
      <c r="E29" s="7"/>
      <c r="F29" s="7" t="s">
        <v>868</v>
      </c>
      <c r="G29" s="7" t="str">
        <f t="shared" si="3"/>
        <v>text</v>
      </c>
      <c r="H29" s="58"/>
      <c r="I29" s="23"/>
      <c r="J29" s="24" t="s">
        <v>1339</v>
      </c>
      <c r="M29" s="4"/>
      <c r="N29" s="78"/>
      <c r="O29" s="78"/>
      <c r="P29" s="78" t="str">
        <f t="shared" si="4"/>
        <v>,nationality_code</v>
      </c>
      <c r="Q29" s="78" t="str">
        <f t="shared" si="0"/>
        <v>TEXT</v>
      </c>
      <c r="R29" s="78" t="str">
        <f t="shared" si="1"/>
        <v/>
      </c>
      <c r="S29" s="78" t="str">
        <f t="shared" si="5"/>
        <v/>
      </c>
      <c r="T29" s="78" t="str">
        <f t="shared" si="6"/>
        <v>-- 国籍コード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milscm_2023_010.azn_202310_backup_merge_mml_pi_master.nationality_code IS '国籍コード';</v>
      </c>
    </row>
    <row r="30" spans="1:45" s="25" customFormat="1">
      <c r="A30" s="4"/>
      <c r="B30" s="21">
        <f t="shared" si="2"/>
        <v>18</v>
      </c>
      <c r="C30" s="13" t="s">
        <v>1309</v>
      </c>
      <c r="D30" s="13" t="s">
        <v>1310</v>
      </c>
      <c r="E30" s="7"/>
      <c r="F30" s="7" t="s">
        <v>868</v>
      </c>
      <c r="G30" s="7" t="str">
        <f t="shared" si="3"/>
        <v>text</v>
      </c>
      <c r="H30" s="58"/>
      <c r="I30" s="23"/>
      <c r="J30" s="24"/>
      <c r="M30" s="4"/>
      <c r="N30" s="78"/>
      <c r="O30" s="78"/>
      <c r="P30" s="78" t="str">
        <f t="shared" si="4"/>
        <v>,subtype_code</v>
      </c>
      <c r="Q30" s="78" t="str">
        <f t="shared" si="0"/>
        <v>TEXT</v>
      </c>
      <c r="R30" s="78" t="str">
        <f t="shared" si="1"/>
        <v/>
      </c>
      <c r="S30" s="78" t="str">
        <f t="shared" si="5"/>
        <v/>
      </c>
      <c r="T30" s="78" t="str">
        <f t="shared" si="6"/>
        <v>-- 第2国籍コード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milscm_2023_010.azn_202310_backup_merge_mml_pi_master.subtype_code IS '第2国籍コード';</v>
      </c>
    </row>
    <row r="31" spans="1:45" s="25" customFormat="1">
      <c r="A31" s="4"/>
      <c r="B31" s="21">
        <f t="shared" si="2"/>
        <v>19</v>
      </c>
      <c r="C31" s="13" t="s">
        <v>1311</v>
      </c>
      <c r="D31" s="13" t="s">
        <v>1312</v>
      </c>
      <c r="E31" s="7"/>
      <c r="F31" s="7" t="s">
        <v>868</v>
      </c>
      <c r="G31" s="7" t="str">
        <f t="shared" si="3"/>
        <v>text</v>
      </c>
      <c r="H31" s="58"/>
      <c r="I31" s="23"/>
      <c r="J31" s="24"/>
      <c r="M31" s="4"/>
      <c r="N31" s="78"/>
      <c r="O31" s="78"/>
      <c r="P31" s="78" t="str">
        <f t="shared" si="4"/>
        <v>,race</v>
      </c>
      <c r="Q31" s="78" t="str">
        <f t="shared" si="0"/>
        <v>TEXT</v>
      </c>
      <c r="R31" s="78" t="str">
        <f t="shared" si="1"/>
        <v/>
      </c>
      <c r="S31" s="78" t="str">
        <f t="shared" si="5"/>
        <v/>
      </c>
      <c r="T31" s="78" t="str">
        <f t="shared" si="6"/>
        <v>-- 人種、民族</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milscm_2023_010.azn_202310_backup_merge_mml_pi_master.race IS '人種、民族';</v>
      </c>
    </row>
    <row r="32" spans="1:45" s="25" customFormat="1">
      <c r="A32" s="4"/>
      <c r="B32" s="21">
        <f t="shared" si="2"/>
        <v>20</v>
      </c>
      <c r="C32" s="13" t="s">
        <v>1313</v>
      </c>
      <c r="D32" s="13" t="s">
        <v>1314</v>
      </c>
      <c r="E32" s="7"/>
      <c r="F32" s="7" t="s">
        <v>868</v>
      </c>
      <c r="G32" s="7" t="str">
        <f t="shared" si="3"/>
        <v>text</v>
      </c>
      <c r="H32" s="58"/>
      <c r="I32" s="23"/>
      <c r="J32" s="24"/>
      <c r="M32" s="4"/>
      <c r="N32" s="78"/>
      <c r="O32" s="78"/>
      <c r="P32" s="78" t="str">
        <f t="shared" si="4"/>
        <v>,race_code</v>
      </c>
      <c r="Q32" s="78" t="str">
        <f t="shared" si="0"/>
        <v>TEXT</v>
      </c>
      <c r="R32" s="78" t="str">
        <f t="shared" si="1"/>
        <v/>
      </c>
      <c r="S32" s="78" t="str">
        <f t="shared" si="5"/>
        <v/>
      </c>
      <c r="T32" s="78" t="str">
        <f t="shared" si="6"/>
        <v>-- 人種、民族コード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milscm_2023_010.azn_202310_backup_merge_mml_pi_master.race_code IS '人種、民族コード';</v>
      </c>
    </row>
    <row r="33" spans="1:52" s="25" customFormat="1">
      <c r="A33" s="4"/>
      <c r="B33" s="21">
        <f t="shared" si="2"/>
        <v>21</v>
      </c>
      <c r="C33" s="13" t="s">
        <v>1315</v>
      </c>
      <c r="D33" s="13" t="s">
        <v>1316</v>
      </c>
      <c r="E33" s="7"/>
      <c r="F33" s="7" t="s">
        <v>868</v>
      </c>
      <c r="G33" s="7" t="str">
        <f t="shared" si="3"/>
        <v>text</v>
      </c>
      <c r="H33" s="58"/>
      <c r="I33" s="23"/>
      <c r="J33" s="24"/>
      <c r="M33" s="4"/>
      <c r="N33" s="78"/>
      <c r="O33" s="78"/>
      <c r="P33" s="78" t="str">
        <f t="shared" si="4"/>
        <v>,race_code_id</v>
      </c>
      <c r="Q33" s="78" t="str">
        <f t="shared" si="0"/>
        <v>TEXT</v>
      </c>
      <c r="R33" s="78" t="str">
        <f t="shared" si="1"/>
        <v/>
      </c>
      <c r="S33" s="78" t="str">
        <f t="shared" si="5"/>
        <v/>
      </c>
      <c r="T33" s="78" t="str">
        <f t="shared" si="6"/>
        <v>-- 人種、民族使用テーブル</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milscm_2023_010.azn_202310_backup_merge_mml_pi_master.race_code_id IS '人種、民族使用テーブル';</v>
      </c>
    </row>
    <row r="34" spans="1:52" s="25" customFormat="1" ht="37.5">
      <c r="A34" s="4"/>
      <c r="B34" s="21">
        <f t="shared" si="2"/>
        <v>22</v>
      </c>
      <c r="C34" s="13" t="s">
        <v>1317</v>
      </c>
      <c r="D34" s="13" t="s">
        <v>1318</v>
      </c>
      <c r="E34" s="7"/>
      <c r="F34" s="7" t="s">
        <v>868</v>
      </c>
      <c r="G34" s="7" t="str">
        <f t="shared" si="3"/>
        <v>text</v>
      </c>
      <c r="H34" s="58"/>
      <c r="I34" s="23"/>
      <c r="J34" s="24" t="s">
        <v>1340</v>
      </c>
      <c r="M34" s="4"/>
      <c r="N34" s="78"/>
      <c r="O34" s="78"/>
      <c r="P34" s="78" t="str">
        <f t="shared" si="4"/>
        <v>,marital</v>
      </c>
      <c r="Q34" s="78" t="str">
        <f t="shared" si="0"/>
        <v>TEXT</v>
      </c>
      <c r="R34" s="78" t="str">
        <f t="shared" si="1"/>
        <v/>
      </c>
      <c r="S34" s="78" t="str">
        <f t="shared" si="5"/>
        <v/>
      </c>
      <c r="T34" s="78" t="str">
        <f t="shared" si="6"/>
        <v>-- 婚姻状態</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milscm_2023_010.azn_202310_backup_merge_mml_pi_master.marital IS '婚姻状態';</v>
      </c>
    </row>
    <row r="35" spans="1:52" s="25" customFormat="1">
      <c r="A35" s="4"/>
      <c r="B35" s="21">
        <f t="shared" si="2"/>
        <v>23</v>
      </c>
      <c r="C35" s="13" t="s">
        <v>1319</v>
      </c>
      <c r="D35" s="13" t="s">
        <v>1320</v>
      </c>
      <c r="E35" s="7"/>
      <c r="F35" s="7" t="s">
        <v>868</v>
      </c>
      <c r="G35" s="7" t="str">
        <f t="shared" si="3"/>
        <v>text</v>
      </c>
      <c r="H35" s="58"/>
      <c r="I35" s="23"/>
      <c r="J35" s="24"/>
      <c r="M35" s="4"/>
      <c r="N35" s="78"/>
      <c r="O35" s="78"/>
      <c r="P35" s="78" t="str">
        <f t="shared" si="4"/>
        <v>,account_number</v>
      </c>
      <c r="Q35" s="78" t="str">
        <f t="shared" si="0"/>
        <v>TEXT</v>
      </c>
      <c r="R35" s="78" t="str">
        <f t="shared" si="1"/>
        <v/>
      </c>
      <c r="S35" s="78" t="str">
        <f t="shared" si="5"/>
        <v/>
      </c>
      <c r="T35" s="78" t="str">
        <f t="shared" si="6"/>
        <v>-- 会計番号</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milscm_2023_010.azn_202310_backup_merge_mml_pi_master.account_number IS '会計番号';</v>
      </c>
    </row>
    <row r="36" spans="1:52" s="25" customFormat="1">
      <c r="A36" s="4"/>
      <c r="B36" s="21">
        <f t="shared" si="2"/>
        <v>24</v>
      </c>
      <c r="C36" s="13" t="s">
        <v>1321</v>
      </c>
      <c r="D36" s="13" t="s">
        <v>1322</v>
      </c>
      <c r="E36" s="7"/>
      <c r="F36" s="7" t="s">
        <v>868</v>
      </c>
      <c r="G36" s="7" t="str">
        <f t="shared" si="3"/>
        <v>text</v>
      </c>
      <c r="H36" s="58"/>
      <c r="I36" s="23"/>
      <c r="J36" s="24"/>
      <c r="M36" s="4"/>
      <c r="N36" s="78"/>
      <c r="O36" s="78"/>
      <c r="P36" s="78" t="str">
        <f t="shared" si="4"/>
        <v>,socialIdentification</v>
      </c>
      <c r="Q36" s="78" t="str">
        <f t="shared" si="0"/>
        <v>TEXT</v>
      </c>
      <c r="R36" s="78" t="str">
        <f t="shared" si="1"/>
        <v/>
      </c>
      <c r="S36" s="78" t="str">
        <f t="shared" si="5"/>
        <v/>
      </c>
      <c r="T36" s="78" t="str">
        <f t="shared" si="6"/>
        <v>-- 社会番号</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milscm_2023_010.azn_202310_backup_merge_mml_pi_master.socialIdentification IS '社会番号';</v>
      </c>
    </row>
    <row r="37" spans="1:52" s="25" customFormat="1">
      <c r="A37" s="4"/>
      <c r="B37" s="21">
        <f t="shared" si="2"/>
        <v>25</v>
      </c>
      <c r="C37" s="13" t="s">
        <v>1323</v>
      </c>
      <c r="D37" s="13" t="s">
        <v>1324</v>
      </c>
      <c r="E37" s="7"/>
      <c r="F37" s="7" t="s">
        <v>868</v>
      </c>
      <c r="G37" s="7" t="str">
        <f t="shared" si="3"/>
        <v>text</v>
      </c>
      <c r="H37" s="58"/>
      <c r="I37" s="23"/>
      <c r="J37" s="24" t="s">
        <v>1341</v>
      </c>
      <c r="M37" s="4"/>
      <c r="N37" s="78"/>
      <c r="O37" s="78"/>
      <c r="P37" s="78" t="str">
        <f t="shared" si="4"/>
        <v>,death_flag</v>
      </c>
      <c r="Q37" s="78" t="str">
        <f t="shared" si="0"/>
        <v>TEXT</v>
      </c>
      <c r="R37" s="78" t="str">
        <f t="shared" si="1"/>
        <v/>
      </c>
      <c r="S37" s="78" t="str">
        <f t="shared" si="5"/>
        <v/>
      </c>
      <c r="T37" s="78" t="str">
        <f t="shared" si="6"/>
        <v>-- 死亡フラグ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milscm_2023_010.azn_202310_backup_merge_mml_pi_master.death_flag IS '死亡フラグ';</v>
      </c>
    </row>
    <row r="38" spans="1:52" s="25" customFormat="1" ht="19.5" thickBot="1">
      <c r="A38" s="4"/>
      <c r="B38" s="27">
        <f>ROW()-12</f>
        <v>26</v>
      </c>
      <c r="C38" s="57" t="s">
        <v>1325</v>
      </c>
      <c r="D38" s="57" t="s">
        <v>1326</v>
      </c>
      <c r="E38" s="56"/>
      <c r="F38" s="56" t="s">
        <v>868</v>
      </c>
      <c r="G38" s="56" t="str">
        <f t="shared" si="3"/>
        <v>text</v>
      </c>
      <c r="H38" s="59"/>
      <c r="I38" s="60"/>
      <c r="J38" s="64" t="s">
        <v>1342</v>
      </c>
      <c r="N38" s="78"/>
      <c r="O38" s="78"/>
      <c r="P38" s="78" t="str">
        <f t="shared" si="4"/>
        <v>,death_date</v>
      </c>
      <c r="Q38" s="78" t="str">
        <f t="shared" si="0"/>
        <v>TEXT</v>
      </c>
      <c r="R38" s="78" t="str">
        <f t="shared" si="1"/>
        <v/>
      </c>
      <c r="S38" s="78" t="str">
        <f t="shared" si="5"/>
        <v/>
      </c>
      <c r="T38" s="78" t="str">
        <f t="shared" si="6"/>
        <v>-- 死亡日時</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milscm_2023_010.azn_202310_backup_merge_mml_pi_master.death_date IS '死亡日時';</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E00-000000000000}"/>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ENT_01_C4-03</v>
      </c>
      <c r="E6" s="239"/>
      <c r="F6" s="239"/>
      <c r="G6" s="239"/>
      <c r="H6" s="239"/>
      <c r="I6" s="239"/>
      <c r="J6" s="240"/>
    </row>
    <row r="7" spans="1:45">
      <c r="B7" s="228" t="s">
        <v>115</v>
      </c>
      <c r="C7" s="229"/>
      <c r="D7" s="230" t="s">
        <v>1344</v>
      </c>
      <c r="E7" s="231"/>
      <c r="F7" s="231"/>
      <c r="G7" s="231"/>
      <c r="H7" s="231"/>
      <c r="I7" s="231"/>
      <c r="J7" s="232"/>
    </row>
    <row r="8" spans="1:45">
      <c r="B8" s="228" t="s">
        <v>116</v>
      </c>
      <c r="C8" s="229"/>
      <c r="D8" s="230" t="str">
        <f>エンティティ一覧!AE2&amp;"_"&amp;D5&amp;"_merge_mml_rd_register"</f>
        <v>azn_202310_backup_merge_mml_rd_register</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milscm_2023_010.azn_202310_backup_merge_mml_rd_register;</v>
      </c>
      <c r="O10" s="78"/>
      <c r="P10" s="78"/>
      <c r="Q10" s="78"/>
      <c r="R10" s="78"/>
      <c r="S10" s="78"/>
      <c r="T10" s="78"/>
      <c r="AJ10" s="78" t="str">
        <f>"ALTER TABLE ONLY "&amp;エンティティ一覧!$O$2&amp;"."&amp;D$8</f>
        <v>ALTER TABLE ONLY milscm_2023_010.azn_202310_backup_merge_mml_rd_register</v>
      </c>
      <c r="AS10" s="78" t="str">
        <f>"ALTER TABLE "&amp;エンティティ一覧!$O$2&amp;"."&amp;D$8&amp;" OWNER TO pgmisgrp1;"</f>
        <v>ALTER TABLE milscm_2023_010.azn_202310_backup_merge_mml_rd_register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milscm_2023_010.azn_202310_backup_merge_mml_rd_register</v>
      </c>
      <c r="O11" s="78"/>
      <c r="P11" s="78"/>
      <c r="Q11" s="78"/>
      <c r="R11" s="78"/>
      <c r="S11" s="78"/>
      <c r="T11" s="78"/>
      <c r="AJ11" s="78" t="str">
        <f>"ADD CONSTRAINT "&amp;D$8&amp;"_pkey PRIMARY KEY"</f>
        <v>ADD CONSTRAINT azn_202310_backup_merge_mml_rd_register_pkey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milscm_2023_010.azn_202310_backup_merge_mml_rd_register IS 'バックアップ_診断履歴情報モジュール_診断履歴情報レコード';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milscm_2023_010.azn_202310_backup_merge_mml_rd_register.torikomi_ym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milscm_2023_010.azn_202310_backup_merge_mml_rd_register.mil_karute_id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milscm_2023_010.azn_202310_backup_merge_mml_rd_register.facility_id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milscm_2023_010.azn_202310_backup_merge_mml_rd_register.shinryo_ymd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milscm_2023_010.azn_202310_backup_merge_mml_rd_register.data_type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milscm_2023_010.azn_202310_backup_merge_mml_rd_register.master_id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milscm_2023_010.azn_202310_backup_merge_mml_rd_register.uid IS '文書ユニークID';</v>
      </c>
    </row>
    <row r="20" spans="1:52" s="25" customFormat="1" ht="37.5">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milscm_2023_010.azn_202310_backup_merge_mml_rd_register.shindan_seq IS '診断SEQ';</v>
      </c>
    </row>
    <row r="21" spans="1:52" s="25" customFormat="1">
      <c r="A21" s="4"/>
      <c r="B21" s="21">
        <f t="shared" si="2"/>
        <v>9</v>
      </c>
      <c r="C21" s="13" t="s">
        <v>1348</v>
      </c>
      <c r="D21" s="13" t="s">
        <v>1349</v>
      </c>
      <c r="E21" s="7"/>
      <c r="F21" s="7" t="s">
        <v>868</v>
      </c>
      <c r="G21" s="7" t="str">
        <f t="shared" si="3"/>
        <v>text</v>
      </c>
      <c r="H21" s="58"/>
      <c r="I21" s="23"/>
      <c r="J21" s="24" t="s">
        <v>1358</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milscm_2023_010.azn_202310_backup_merge_mml_rd_register.shikkan_start_ymd IS '疾患開始日';</v>
      </c>
    </row>
    <row r="22" spans="1:52" s="25" customFormat="1">
      <c r="A22" s="4"/>
      <c r="B22" s="21">
        <f t="shared" si="2"/>
        <v>10</v>
      </c>
      <c r="C22" s="13" t="s">
        <v>1350</v>
      </c>
      <c r="D22" s="13" t="s">
        <v>1351</v>
      </c>
      <c r="E22" s="7"/>
      <c r="F22" s="7" t="s">
        <v>868</v>
      </c>
      <c r="G22" s="7" t="str">
        <f t="shared" si="3"/>
        <v>text</v>
      </c>
      <c r="H22" s="58"/>
      <c r="I22" s="23"/>
      <c r="J22" s="24" t="s">
        <v>1359</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milscm_2023_010.azn_202310_backup_merge_mml_rd_register.shikkan_end_ymd IS '疾患終了日';</v>
      </c>
    </row>
    <row r="23" spans="1:52" s="25" customFormat="1">
      <c r="A23" s="4"/>
      <c r="B23" s="21">
        <f t="shared" si="2"/>
        <v>11</v>
      </c>
      <c r="C23" s="13" t="s">
        <v>1352</v>
      </c>
      <c r="D23" s="13" t="s">
        <v>1353</v>
      </c>
      <c r="E23" s="7"/>
      <c r="F23" s="7" t="s">
        <v>868</v>
      </c>
      <c r="G23" s="7" t="str">
        <f t="shared" si="3"/>
        <v>text</v>
      </c>
      <c r="H23" s="58"/>
      <c r="I23" s="23"/>
      <c r="J23" s="24" t="s">
        <v>1360</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milscm_2023_010.azn_202310_backup_merge_mml_rd_register.tenki IS '転帰';</v>
      </c>
    </row>
    <row r="24" spans="1:52" s="25" customFormat="1" ht="19.5" thickBot="1">
      <c r="A24" s="4"/>
      <c r="B24" s="27">
        <f>ROW()-12</f>
        <v>12</v>
      </c>
      <c r="C24" s="57" t="s">
        <v>1354</v>
      </c>
      <c r="D24" s="57" t="s">
        <v>1355</v>
      </c>
      <c r="E24" s="56"/>
      <c r="F24" s="56" t="s">
        <v>868</v>
      </c>
      <c r="G24" s="56" t="str">
        <f t="shared" si="3"/>
        <v>text</v>
      </c>
      <c r="H24" s="59"/>
      <c r="I24" s="60"/>
      <c r="J24" s="64" t="s">
        <v>1361</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7F00-000000000000}"/>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ENT_01_C4-04</v>
      </c>
      <c r="E6" s="239"/>
      <c r="F6" s="239"/>
      <c r="G6" s="239"/>
      <c r="H6" s="239"/>
      <c r="I6" s="239"/>
      <c r="J6" s="240"/>
    </row>
    <row r="7" spans="1:45">
      <c r="B7" s="228" t="s">
        <v>115</v>
      </c>
      <c r="C7" s="229"/>
      <c r="D7" s="230" t="s">
        <v>1363</v>
      </c>
      <c r="E7" s="231"/>
      <c r="F7" s="231"/>
      <c r="G7" s="231"/>
      <c r="H7" s="231"/>
      <c r="I7" s="231"/>
      <c r="J7" s="232"/>
    </row>
    <row r="8" spans="1:45">
      <c r="B8" s="228" t="s">
        <v>116</v>
      </c>
      <c r="C8" s="229"/>
      <c r="D8" s="230" t="str">
        <f>エンティティ一覧!AE2&amp;"_"&amp;D5&amp;"_merge_mml_rd_byomei"</f>
        <v>azn_202310_backup_merge_mml_rd_byomei</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milscm_2023_010.azn_202310_backup_merge_mml_rd_byomei;</v>
      </c>
      <c r="O10" s="78"/>
      <c r="P10" s="78"/>
      <c r="Q10" s="78"/>
      <c r="R10" s="78"/>
      <c r="S10" s="78"/>
      <c r="T10" s="78"/>
      <c r="AJ10" s="78" t="str">
        <f>"ALTER TABLE ONLY "&amp;エンティティ一覧!$O$2&amp;"."&amp;D$8</f>
        <v>ALTER TABLE ONLY milscm_2023_010.azn_202310_backup_merge_mml_rd_byomei</v>
      </c>
      <c r="AS10" s="78" t="str">
        <f>"ALTER TABLE "&amp;エンティティ一覧!$O$2&amp;"."&amp;D$8&amp;" OWNER TO pgmisgrp1;"</f>
        <v>ALTER TABLE milscm_2023_010.azn_202310_backup_merge_mml_rd_byomei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milscm_2023_010.azn_202310_backup_merge_mml_rd_byomei</v>
      </c>
      <c r="O11" s="78"/>
      <c r="P11" s="78"/>
      <c r="Q11" s="78"/>
      <c r="R11" s="78"/>
      <c r="S11" s="78"/>
      <c r="T11" s="78"/>
      <c r="AJ11" s="78" t="str">
        <f>"ADD CONSTRAINT "&amp;D$8&amp;"_pkey PRIMARY KEY"</f>
        <v>ADD CONSTRAINT azn_202310_backup_merge_mml_rd_byomei_pkey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milscm_2023_010.azn_202310_backup_merge_mml_rd_byomei IS 'バックアップ_診断履歴情報モジュール_診断病名レコード';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milscm_2023_010.azn_202310_backup_merge_mml_rd_byomei.torikomi_ym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milscm_2023_010.azn_202310_backup_merge_mml_rd_byomei.mil_karute_id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milscm_2023_010.azn_202310_backup_merge_mml_rd_byomei.facility_id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milscm_2023_010.azn_202310_backup_merge_mml_rd_byomei.shinryo_ymd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milscm_2023_010.azn_202310_backup_merge_mml_rd_byomei.data_type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milscm_2023_010.azn_202310_backup_merge_mml_rd_byomei.master_id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milscm_2023_010.azn_202310_backup_merge_mml_rd_byomei.uid IS '文書ユニークID';</v>
      </c>
    </row>
    <row r="20" spans="1:52" s="25" customFormat="1" ht="37.5">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milscm_2023_010.azn_202310_backup_merge_mml_rd_byomei.shindan_seq IS '診断SEQ';</v>
      </c>
    </row>
    <row r="21" spans="1:52" s="25" customFormat="1">
      <c r="A21" s="4"/>
      <c r="B21" s="21">
        <f t="shared" si="2"/>
        <v>9</v>
      </c>
      <c r="C21" s="13" t="s">
        <v>1364</v>
      </c>
      <c r="D21" s="13" t="s">
        <v>1365</v>
      </c>
      <c r="E21" s="7" t="s">
        <v>127</v>
      </c>
      <c r="F21" s="7" t="s">
        <v>205</v>
      </c>
      <c r="G21" s="7" t="str">
        <f t="shared" si="3"/>
        <v>integer</v>
      </c>
      <c r="H21" s="58"/>
      <c r="I21" s="23" t="s">
        <v>127</v>
      </c>
      <c r="J21" s="24" t="s">
        <v>1372</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milscm_2023_010.azn_202310_backup_merge_mml_rd_byomei.byomei_seq IS '病名SEQ';</v>
      </c>
    </row>
    <row r="22" spans="1:52" s="25" customFormat="1">
      <c r="A22" s="4"/>
      <c r="B22" s="21">
        <f t="shared" si="2"/>
        <v>10</v>
      </c>
      <c r="C22" s="13" t="s">
        <v>1366</v>
      </c>
      <c r="D22" s="13" t="s">
        <v>1367</v>
      </c>
      <c r="E22" s="7"/>
      <c r="F22" s="7" t="s">
        <v>868</v>
      </c>
      <c r="G22" s="7" t="str">
        <f t="shared" si="3"/>
        <v>text</v>
      </c>
      <c r="H22" s="58"/>
      <c r="I22" s="23"/>
      <c r="J22" s="24" t="s">
        <v>1373</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milscm_2023_010.azn_202310_backup_merge_mml_rd_byomei.byomei IS '病名';</v>
      </c>
    </row>
    <row r="23" spans="1:52" s="25" customFormat="1">
      <c r="A23" s="4"/>
      <c r="B23" s="21">
        <f t="shared" si="2"/>
        <v>11</v>
      </c>
      <c r="C23" s="13" t="s">
        <v>1368</v>
      </c>
      <c r="D23" s="13" t="s">
        <v>1369</v>
      </c>
      <c r="E23" s="7"/>
      <c r="F23" s="7" t="s">
        <v>868</v>
      </c>
      <c r="G23" s="7" t="str">
        <f t="shared" si="3"/>
        <v>text</v>
      </c>
      <c r="H23" s="58"/>
      <c r="I23" s="23"/>
      <c r="J23" s="24" t="s">
        <v>1374</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milscm_2023_010.azn_202310_backup_merge_mml_rd_byomei.byomei_code IS '病名コード値';</v>
      </c>
    </row>
    <row r="24" spans="1:52" s="25" customFormat="1" ht="19.5" thickBot="1">
      <c r="A24" s="4"/>
      <c r="B24" s="27">
        <f>ROW()-12</f>
        <v>12</v>
      </c>
      <c r="C24" s="57" t="s">
        <v>1370</v>
      </c>
      <c r="D24" s="57" t="s">
        <v>1371</v>
      </c>
      <c r="E24" s="56"/>
      <c r="F24" s="56" t="s">
        <v>868</v>
      </c>
      <c r="G24" s="56" t="str">
        <f t="shared" si="3"/>
        <v>text</v>
      </c>
      <c r="H24" s="59"/>
      <c r="I24" s="60"/>
      <c r="J24" s="64" t="s">
        <v>1375</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000-000000000000}"/>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ENT_01_C4-05</v>
      </c>
      <c r="E6" s="239"/>
      <c r="F6" s="239"/>
      <c r="G6" s="239"/>
      <c r="H6" s="239"/>
      <c r="I6" s="239"/>
      <c r="J6" s="240"/>
    </row>
    <row r="7" spans="1:45">
      <c r="B7" s="228" t="s">
        <v>115</v>
      </c>
      <c r="C7" s="229"/>
      <c r="D7" s="230" t="s">
        <v>1377</v>
      </c>
      <c r="E7" s="231"/>
      <c r="F7" s="231"/>
      <c r="G7" s="231"/>
      <c r="H7" s="231"/>
      <c r="I7" s="231"/>
      <c r="J7" s="232"/>
    </row>
    <row r="8" spans="1:45">
      <c r="B8" s="228" t="s">
        <v>116</v>
      </c>
      <c r="C8" s="229"/>
      <c r="D8" s="230" t="str">
        <f>エンティティ一覧!AE2&amp;"_"&amp;D5&amp;"_merge_mml_rd_category"</f>
        <v>azn_202310_backup_merge_mml_rd_category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milscm_2023_010.azn_202310_backup_merge_mml_rd_category;</v>
      </c>
      <c r="O10" s="78"/>
      <c r="P10" s="78"/>
      <c r="Q10" s="78"/>
      <c r="R10" s="78"/>
      <c r="S10" s="78"/>
      <c r="T10" s="78"/>
      <c r="AJ10" s="78" t="str">
        <f>"ALTER TABLE ONLY "&amp;エンティティ一覧!$O$2&amp;"."&amp;D$8</f>
        <v>ALTER TABLE ONLY milscm_2023_010.azn_202310_backup_merge_mml_rd_category</v>
      </c>
      <c r="AS10" s="78" t="str">
        <f>"ALTER TABLE "&amp;エンティティ一覧!$O$2&amp;"."&amp;D$8&amp;" OWNER TO pgmisgrp1;"</f>
        <v>ALTER TABLE milscm_2023_010.azn_202310_backup_merge_mml_rd_category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milscm_2023_010.azn_202310_backup_merge_mml_rd_category</v>
      </c>
      <c r="O11" s="78"/>
      <c r="P11" s="78"/>
      <c r="Q11" s="78"/>
      <c r="R11" s="78"/>
      <c r="S11" s="78"/>
      <c r="T11" s="78"/>
      <c r="AJ11" s="78" t="str">
        <f>"ADD CONSTRAINT "&amp;D$8&amp;"_pkey PRIMARY KEY"</f>
        <v>ADD CONSTRAINT azn_202310_backup_merge_mml_rd_category_pkey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milscm_2023_010.azn_202310_backup_merge_mml_rd_category IS 'バックアップ_診断履歴情報モジュール_診断分類レコード';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milscm_2023_010.azn_202310_backup_merge_mml_rd_category.torikomi_ym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milscm_2023_010.azn_202310_backup_merge_mml_rd_category.mil_karute_id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milscm_2023_010.azn_202310_backup_merge_mml_rd_category.facility_id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milscm_2023_010.azn_202310_backup_merge_mml_rd_category.shinryo_ymd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milscm_2023_010.azn_202310_backup_merge_mml_rd_category.data_type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milscm_2023_010.azn_202310_backup_merge_mml_rd_category.master_id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milscm_2023_010.azn_202310_backup_merge_mml_rd_category.uid IS '文書ユニークID';</v>
      </c>
    </row>
    <row r="20" spans="1:52" s="25" customFormat="1" ht="37.5">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milscm_2023_010.azn_202310_backup_merge_mml_rd_category.shindan_seq IS '診断SEQ';</v>
      </c>
    </row>
    <row r="21" spans="1:52" s="25" customFormat="1">
      <c r="A21" s="4"/>
      <c r="B21" s="21">
        <f t="shared" si="2"/>
        <v>9</v>
      </c>
      <c r="C21" s="13" t="s">
        <v>1378</v>
      </c>
      <c r="D21" s="13" t="s">
        <v>1379</v>
      </c>
      <c r="E21" s="7" t="s">
        <v>127</v>
      </c>
      <c r="F21" s="7" t="s">
        <v>205</v>
      </c>
      <c r="G21" s="7" t="str">
        <f t="shared" si="3"/>
        <v>integer</v>
      </c>
      <c r="H21" s="58"/>
      <c r="I21" s="23" t="s">
        <v>127</v>
      </c>
      <c r="J21" s="24" t="s">
        <v>1384</v>
      </c>
      <c r="M21" s="4"/>
      <c r="N21" s="78"/>
      <c r="O21" s="78"/>
      <c r="P21" s="78" t="str">
        <f t="shared" si="4"/>
        <v>,bunrui_seq</v>
      </c>
      <c r="Q21" s="78" t="str">
        <f t="shared" si="0"/>
        <v>INTEGER</v>
      </c>
      <c r="R21" s="78" t="str">
        <f t="shared" si="1"/>
        <v/>
      </c>
      <c r="S21" s="78" t="str">
        <f t="shared" si="5"/>
        <v>NOT NULL</v>
      </c>
      <c r="T21" s="78" t="str">
        <f t="shared" si="6"/>
        <v>-- 分類SEQ</v>
      </c>
      <c r="U21" s="4"/>
      <c r="AA21" s="4"/>
      <c r="AB21" s="4"/>
      <c r="AC21" s="4"/>
      <c r="AD21" s="4"/>
      <c r="AE21" s="4"/>
      <c r="AF21" s="4"/>
      <c r="AG21" s="4"/>
      <c r="AH21" s="4"/>
      <c r="AI21" s="4"/>
      <c r="AJ21" s="78" t="str">
        <f>IF(E21="○",IF(COUNTA(E$13:E21)=1,"",",")&amp;D21,"")</f>
        <v>,bunrui_seq</v>
      </c>
      <c r="AK21" s="4"/>
      <c r="AL21" s="4"/>
      <c r="AM21" s="4"/>
      <c r="AN21" s="4"/>
      <c r="AO21" s="4"/>
      <c r="AP21" s="4"/>
      <c r="AQ21" s="4"/>
      <c r="AR21" s="4"/>
      <c r="AS21" s="78" t="str">
        <f>"COMMENT ON COLUMN "&amp;エンティティ一覧!$O$2&amp;"."&amp;D$8&amp;"."&amp;D21&amp;" IS '"&amp;C21&amp;"';"</f>
        <v>COMMENT ON COLUMN milscm_2023_010.azn_202310_backup_merge_mml_rd_category.bunrui_seq IS '分類SEQ';</v>
      </c>
    </row>
    <row r="22" spans="1:52" s="25" customFormat="1">
      <c r="A22" s="4"/>
      <c r="B22" s="21">
        <f t="shared" si="2"/>
        <v>10</v>
      </c>
      <c r="C22" s="13" t="s">
        <v>1380</v>
      </c>
      <c r="D22" s="13" t="s">
        <v>1381</v>
      </c>
      <c r="E22" s="7"/>
      <c r="F22" s="7" t="s">
        <v>868</v>
      </c>
      <c r="G22" s="7" t="str">
        <f t="shared" si="3"/>
        <v>text</v>
      </c>
      <c r="H22" s="58"/>
      <c r="I22" s="23"/>
      <c r="J22" s="24" t="s">
        <v>1385</v>
      </c>
      <c r="M22" s="4"/>
      <c r="N22" s="78"/>
      <c r="O22" s="78"/>
      <c r="P22" s="78" t="str">
        <f t="shared" si="4"/>
        <v>,bunrui_name</v>
      </c>
      <c r="Q22" s="78" t="str">
        <f t="shared" si="0"/>
        <v>TEXT</v>
      </c>
      <c r="R22" s="78" t="str">
        <f t="shared" si="1"/>
        <v/>
      </c>
      <c r="S22" s="78" t="str">
        <f t="shared" si="5"/>
        <v/>
      </c>
      <c r="T22" s="78" t="str">
        <f t="shared" si="6"/>
        <v>-- 分類名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milscm_2023_010.azn_202310_backup_merge_mml_rd_category.bunrui_name IS '分類名';</v>
      </c>
    </row>
    <row r="23" spans="1:52" s="25" customFormat="1" ht="94.5" thickBot="1">
      <c r="A23" s="4"/>
      <c r="B23" s="27">
        <f>ROW()-12</f>
        <v>11</v>
      </c>
      <c r="C23" s="57" t="s">
        <v>1382</v>
      </c>
      <c r="D23" s="57" t="s">
        <v>1383</v>
      </c>
      <c r="E23" s="56"/>
      <c r="F23" s="56" t="s">
        <v>868</v>
      </c>
      <c r="G23" s="56" t="str">
        <f t="shared" si="3"/>
        <v>text</v>
      </c>
      <c r="H23" s="59"/>
      <c r="I23" s="60"/>
      <c r="J23" s="64" t="s">
        <v>1386</v>
      </c>
      <c r="N23" s="78"/>
      <c r="O23" s="78"/>
      <c r="P23" s="78" t="str">
        <f t="shared" si="4"/>
        <v>,bunrui_code</v>
      </c>
      <c r="Q23" s="78" t="str">
        <f t="shared" si="0"/>
        <v>TEXT</v>
      </c>
      <c r="R23" s="78" t="str">
        <f t="shared" si="1"/>
        <v/>
      </c>
      <c r="S23" s="78" t="str">
        <f t="shared" si="5"/>
        <v/>
      </c>
      <c r="T23" s="78" t="str">
        <f t="shared" si="6"/>
        <v>-- 分類コード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milscm_2023_010.azn_202310_backup_merge_mml_rd_category.bunrui_code IS '分類コード';</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100-000000000000}"/>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ENT_01_C4-06</v>
      </c>
      <c r="E6" s="239"/>
      <c r="F6" s="239"/>
      <c r="G6" s="239"/>
      <c r="H6" s="239"/>
      <c r="I6" s="239"/>
      <c r="J6" s="240"/>
    </row>
    <row r="7" spans="1:45">
      <c r="B7" s="228" t="s">
        <v>115</v>
      </c>
      <c r="C7" s="229"/>
      <c r="D7" s="230" t="s">
        <v>1388</v>
      </c>
      <c r="E7" s="231"/>
      <c r="F7" s="231"/>
      <c r="G7" s="231"/>
      <c r="H7" s="231"/>
      <c r="I7" s="231"/>
      <c r="J7" s="232"/>
    </row>
    <row r="8" spans="1:45">
      <c r="B8" s="228" t="s">
        <v>116</v>
      </c>
      <c r="C8" s="229"/>
      <c r="D8" s="230" t="str">
        <f>エンティティ一覧!AE2&amp;"_"&amp;D5&amp;"_merge_mml_pc_progress_course"</f>
        <v>azn_202310_backup_merge_mml_pc_progress_course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milscm_2023_010.azn_202310_backup_merge_mml_pc_progress_course;</v>
      </c>
      <c r="O10" s="78"/>
      <c r="P10" s="78"/>
      <c r="Q10" s="78"/>
      <c r="R10" s="78"/>
      <c r="S10" s="78"/>
      <c r="T10" s="78"/>
      <c r="AJ10" s="78" t="str">
        <f>"ALTER TABLE ONLY "&amp;エンティティ一覧!$O$2&amp;"."&amp;D$8</f>
        <v>ALTER TABLE ONLY milscm_2023_010.azn_202310_backup_merge_mml_pc_progress_course</v>
      </c>
      <c r="AS10" s="78" t="str">
        <f>"ALTER TABLE "&amp;エンティティ一覧!$O$2&amp;"."&amp;D$8&amp;" OWNER TO pgmisgrp1;"</f>
        <v>ALTER TABLE milscm_2023_010.azn_202310_backup_merge_mml_pc_progress_course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milscm_2023_010.azn_202310_backup_merge_mml_pc_progress_course</v>
      </c>
      <c r="O11" s="78"/>
      <c r="P11" s="78"/>
      <c r="Q11" s="78"/>
      <c r="R11" s="78"/>
      <c r="S11" s="78"/>
      <c r="T11" s="78"/>
      <c r="AJ11" s="78" t="str">
        <f>"ADD CONSTRAINT "&amp;D$8&amp;"_pkey PRIMARY KEY"</f>
        <v>ADD CONSTRAINT azn_202310_backup_merge_mml_pc_progress_course_pkey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milscm_2023_010.azn_202310_backup_merge_mml_pc_progress_course IS 'バックアップ_経過記録情報モジュール_経過記録情報レコード';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milscm_2023_010.azn_202310_backup_merge_mml_pc_progress_course.torikomi_ym IS '取込年月';</v>
      </c>
    </row>
    <row r="14" spans="1:45" s="25" customFormat="1">
      <c r="A14" s="4"/>
      <c r="B14" s="21">
        <f t="shared" ref="B14:B20" si="2">ROW()-12</f>
        <v>2</v>
      </c>
      <c r="C14" s="6" t="s">
        <v>203</v>
      </c>
      <c r="D14" s="6" t="s">
        <v>204</v>
      </c>
      <c r="E14" s="8"/>
      <c r="F14" s="7" t="s">
        <v>205</v>
      </c>
      <c r="G14" s="7" t="str">
        <f t="shared" ref="G14:G21" si="3">IF(F14="フラグ","boolean",IF(F14="文字列","text",IF(F14="整数","integer",IF(F14="実数","numeric",""))))</f>
        <v>integer</v>
      </c>
      <c r="H14" s="26"/>
      <c r="I14" s="10"/>
      <c r="J14" s="11" t="s">
        <v>1327</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milscm_2023_010.azn_202310_backup_merge_mml_pc_progress_course.mil_karute_id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milscm_2023_010.azn_202310_backup_merge_mml_pc_progress_course.facility_id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milscm_2023_010.azn_202310_backup_merge_mml_pc_progress_course.shinryo_ymd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milscm_2023_010.azn_202310_backup_merge_mml_pc_progress_course.data_type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milscm_2023_010.azn_202310_backup_merge_mml_pc_progress_course.master_id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milscm_2023_010.azn_202310_backup_merge_mml_pc_progress_course.uid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milscm_2023_010.azn_202310_backup_merge_mml_pc_progress_course.keika_seq IS '経過記録SEQ';</v>
      </c>
    </row>
    <row r="21" spans="1:52" s="25" customFormat="1" ht="38.25" thickBot="1">
      <c r="A21" s="4"/>
      <c r="B21" s="27">
        <f>ROW()-12</f>
        <v>9</v>
      </c>
      <c r="C21" s="57" t="s">
        <v>1391</v>
      </c>
      <c r="D21" s="57" t="s">
        <v>1392</v>
      </c>
      <c r="E21" s="56"/>
      <c r="F21" s="56" t="s">
        <v>868</v>
      </c>
      <c r="G21" s="56" t="str">
        <f t="shared" si="3"/>
        <v>text</v>
      </c>
      <c r="H21" s="59"/>
      <c r="I21" s="60"/>
      <c r="J21" s="64" t="s">
        <v>1394</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200-000000000000}"/>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ENT_01_C4-07</v>
      </c>
      <c r="E6" s="239"/>
      <c r="F6" s="239"/>
      <c r="G6" s="239"/>
      <c r="H6" s="239"/>
      <c r="I6" s="239"/>
      <c r="J6" s="240"/>
    </row>
    <row r="7" spans="1:45">
      <c r="B7" s="228" t="s">
        <v>115</v>
      </c>
      <c r="C7" s="229"/>
      <c r="D7" s="230" t="s">
        <v>1396</v>
      </c>
      <c r="E7" s="231"/>
      <c r="F7" s="231"/>
      <c r="G7" s="231"/>
      <c r="H7" s="231"/>
      <c r="I7" s="231"/>
      <c r="J7" s="232"/>
    </row>
    <row r="8" spans="1:45">
      <c r="B8" s="228" t="s">
        <v>116</v>
      </c>
      <c r="C8" s="229"/>
      <c r="D8" s="230" t="str">
        <f>エンティティ一覧!AE2&amp;"_"&amp;D5&amp;"_merge_mml_pc_problem"</f>
        <v>azn_202310_backup_merge_mml_pc_problem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milscm_2023_010.azn_202310_backup_merge_mml_pc_problem;</v>
      </c>
      <c r="O10" s="78"/>
      <c r="P10" s="78"/>
      <c r="Q10" s="78"/>
      <c r="R10" s="78"/>
      <c r="S10" s="78"/>
      <c r="T10" s="78"/>
      <c r="AJ10" s="78" t="str">
        <f>"ALTER TABLE ONLY "&amp;エンティティ一覧!$O$2&amp;"."&amp;D$8</f>
        <v>ALTER TABLE ONLY milscm_2023_010.azn_202310_backup_merge_mml_pc_problem</v>
      </c>
      <c r="AS10" s="78" t="str">
        <f>"ALTER TABLE "&amp;エンティティ一覧!$O$2&amp;"."&amp;D$8&amp;" OWNER TO pgmisgrp1;"</f>
        <v>ALTER TABLE milscm_2023_010.azn_202310_backup_merge_mml_pc_problem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milscm_2023_010.azn_202310_backup_merge_mml_pc_problem</v>
      </c>
      <c r="O11" s="78"/>
      <c r="P11" s="78"/>
      <c r="Q11" s="78"/>
      <c r="R11" s="78"/>
      <c r="S11" s="78"/>
      <c r="T11" s="78"/>
      <c r="AJ11" s="78" t="str">
        <f>"ADD CONSTRAINT "&amp;D$8&amp;"_pkey PRIMARY KEY"</f>
        <v>ADD CONSTRAINT azn_202310_backup_merge_mml_pc_problem_pkey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milscm_2023_010.azn_202310_backup_merge_mml_pc_problem IS 'バックアップ_経過記録情報モジュール_プロブレムレコード';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milscm_2023_010.azn_202310_backup_merge_mml_pc_problem.torikomi_ym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milscm_2023_010.azn_202310_backup_merge_mml_pc_problem.mil_karute_id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milscm_2023_010.azn_202310_backup_merge_mml_pc_problem.facility_id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milscm_2023_010.azn_202310_backup_merge_mml_pc_problem.shinryo_ymd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milscm_2023_010.azn_202310_backup_merge_mml_pc_problem.data_type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milscm_2023_010.azn_202310_backup_merge_mml_pc_problem.master_id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milscm_2023_010.azn_202310_backup_merge_mml_pc_problem.uid IS '文書ユニークID';</v>
      </c>
    </row>
    <row r="20" spans="1:45"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milscm_2023_010.azn_202310_backup_merge_mml_pc_problem.keika_seq IS '経過記録SEQ';</v>
      </c>
    </row>
    <row r="21" spans="1:45"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milscm_2023_010.azn_202310_backup_merge_mml_pc_problem.problem_seq IS 'プロブレムSEQ';</v>
      </c>
    </row>
    <row r="22" spans="1:45" s="25" customFormat="1" ht="37.5">
      <c r="A22" s="4"/>
      <c r="B22" s="21">
        <f t="shared" si="2"/>
        <v>10</v>
      </c>
      <c r="C22" s="13" t="s">
        <v>1399</v>
      </c>
      <c r="D22" s="13" t="s">
        <v>1400</v>
      </c>
      <c r="E22" s="7"/>
      <c r="F22" s="7" t="s">
        <v>868</v>
      </c>
      <c r="G22" s="7" t="str">
        <f t="shared" si="3"/>
        <v>text</v>
      </c>
      <c r="H22" s="58"/>
      <c r="I22" s="23"/>
      <c r="J22" s="24" t="s">
        <v>1422</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milscm_2023_010.azn_202310_backup_merge_mml_pc_problem.problem_shippei_name IS 'プロブレム名（疾病名）';</v>
      </c>
    </row>
    <row r="23" spans="1:45" s="25" customFormat="1" ht="56.25">
      <c r="A23" s="4"/>
      <c r="B23" s="21">
        <f t="shared" si="2"/>
        <v>11</v>
      </c>
      <c r="C23" s="13" t="s">
        <v>1401</v>
      </c>
      <c r="D23" s="13" t="s">
        <v>1402</v>
      </c>
      <c r="E23" s="7"/>
      <c r="F23" s="7" t="s">
        <v>868</v>
      </c>
      <c r="G23" s="7" t="str">
        <f t="shared" si="3"/>
        <v>text</v>
      </c>
      <c r="H23" s="58"/>
      <c r="I23" s="23"/>
      <c r="J23" s="24" t="s">
        <v>1423</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milscm_2023_010.azn_202310_backup_merge_mml_pc_problem.shindan_name_uid IS '診断名のuid';</v>
      </c>
    </row>
    <row r="24" spans="1:45" s="25" customFormat="1" ht="37.5">
      <c r="A24" s="4"/>
      <c r="B24" s="21">
        <f t="shared" si="2"/>
        <v>12</v>
      </c>
      <c r="C24" s="13" t="s">
        <v>1403</v>
      </c>
      <c r="D24" s="13" t="s">
        <v>1404</v>
      </c>
      <c r="E24" s="7"/>
      <c r="F24" s="7" t="s">
        <v>868</v>
      </c>
      <c r="G24" s="7" t="str">
        <f t="shared" si="3"/>
        <v>text</v>
      </c>
      <c r="H24" s="58"/>
      <c r="I24" s="23"/>
      <c r="J24" s="24" t="s">
        <v>1424</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milscm_2023_010.azn_202310_backup_merge_mml_pc_problem.free_note IS '自由文章表現';</v>
      </c>
    </row>
    <row r="25" spans="1:45" s="25" customFormat="1" ht="37.5">
      <c r="A25" s="4"/>
      <c r="B25" s="21">
        <f t="shared" si="2"/>
        <v>13</v>
      </c>
      <c r="C25" s="13" t="s">
        <v>1405</v>
      </c>
      <c r="D25" s="13" t="s">
        <v>1406</v>
      </c>
      <c r="E25" s="7"/>
      <c r="F25" s="7" t="s">
        <v>868</v>
      </c>
      <c r="G25" s="7" t="str">
        <f t="shared" si="3"/>
        <v>text</v>
      </c>
      <c r="H25" s="58"/>
      <c r="I25" s="23"/>
      <c r="J25" s="24" t="s">
        <v>1425</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milscm_2023_010.azn_202310_backup_merge_mml_pc_problem.free_expression_objective IS '客観的自由記載';</v>
      </c>
    </row>
    <row r="26" spans="1:45" s="25" customFormat="1" ht="37.5">
      <c r="A26" s="4"/>
      <c r="B26" s="21">
        <f t="shared" si="2"/>
        <v>14</v>
      </c>
      <c r="C26" s="13" t="s">
        <v>1407</v>
      </c>
      <c r="D26" s="13" t="s">
        <v>1408</v>
      </c>
      <c r="E26" s="7"/>
      <c r="F26" s="7" t="s">
        <v>868</v>
      </c>
      <c r="G26" s="7" t="str">
        <f t="shared" si="3"/>
        <v>text</v>
      </c>
      <c r="H26" s="58"/>
      <c r="I26" s="23"/>
      <c r="J26" s="24" t="s">
        <v>1426</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milscm_2023_010.azn_202310_backup_merge_mml_pc_problem.test_result IS '検査結果';</v>
      </c>
    </row>
    <row r="27" spans="1:45" s="25" customFormat="1" ht="37.5">
      <c r="A27" s="4"/>
      <c r="B27" s="21">
        <f t="shared" si="2"/>
        <v>15</v>
      </c>
      <c r="C27" s="13" t="s">
        <v>1409</v>
      </c>
      <c r="D27" s="13" t="s">
        <v>1410</v>
      </c>
      <c r="E27" s="7"/>
      <c r="F27" s="7" t="s">
        <v>868</v>
      </c>
      <c r="G27" s="7" t="str">
        <f t="shared" si="3"/>
        <v>text</v>
      </c>
      <c r="H27" s="58"/>
      <c r="I27" s="23"/>
      <c r="J27" s="24" t="s">
        <v>1427</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milscm_2023_010.azn_202310_backup_merge_mml_pc_problem.shohou_jisshi_kiroku IS '処方実施記録';</v>
      </c>
    </row>
    <row r="28" spans="1:45" s="25" customFormat="1" ht="37.5">
      <c r="A28" s="4"/>
      <c r="B28" s="21">
        <f t="shared" si="2"/>
        <v>16</v>
      </c>
      <c r="C28" s="13" t="s">
        <v>1411</v>
      </c>
      <c r="D28" s="13" t="s">
        <v>1412</v>
      </c>
      <c r="E28" s="7"/>
      <c r="F28" s="7" t="s">
        <v>868</v>
      </c>
      <c r="G28" s="7" t="str">
        <f t="shared" si="3"/>
        <v>text</v>
      </c>
      <c r="H28" s="58"/>
      <c r="I28" s="23"/>
      <c r="J28" s="24" t="s">
        <v>1428</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milscm_2023_010.azn_202310_backup_merge_mml_pc_problem.shochi_jisshi_kiroku IS '処置実施記録';</v>
      </c>
    </row>
    <row r="29" spans="1:45" s="25" customFormat="1" ht="37.5">
      <c r="A29" s="4"/>
      <c r="B29" s="21">
        <f t="shared" si="2"/>
        <v>17</v>
      </c>
      <c r="C29" s="13" t="s">
        <v>1413</v>
      </c>
      <c r="D29" s="13" t="s">
        <v>1414</v>
      </c>
      <c r="E29" s="7"/>
      <c r="F29" s="7" t="s">
        <v>868</v>
      </c>
      <c r="G29" s="7" t="str">
        <f t="shared" si="3"/>
        <v>text</v>
      </c>
      <c r="H29" s="58"/>
      <c r="I29" s="23"/>
      <c r="J29" s="24" t="s">
        <v>1429</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milscm_2023_010.azn_202310_backup_merge_mml_pc_problem.kensa_order IS '検査オーダー';</v>
      </c>
    </row>
    <row r="30" spans="1:45" s="25" customFormat="1" ht="37.5">
      <c r="A30" s="4"/>
      <c r="B30" s="21">
        <f t="shared" si="2"/>
        <v>18</v>
      </c>
      <c r="C30" s="13" t="s">
        <v>1415</v>
      </c>
      <c r="D30" s="13" t="s">
        <v>1416</v>
      </c>
      <c r="E30" s="7"/>
      <c r="F30" s="7" t="s">
        <v>868</v>
      </c>
      <c r="G30" s="7" t="str">
        <f t="shared" si="3"/>
        <v>text</v>
      </c>
      <c r="H30" s="58"/>
      <c r="I30" s="23"/>
      <c r="J30" s="24" t="s">
        <v>1430</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milscm_2023_010.azn_202310_backup_merge_mml_pc_problem.shohou_order IS '処方オーダー';</v>
      </c>
    </row>
    <row r="31" spans="1:45" s="25" customFormat="1" ht="37.5">
      <c r="A31" s="4"/>
      <c r="B31" s="21">
        <f t="shared" si="2"/>
        <v>19</v>
      </c>
      <c r="C31" s="13" t="s">
        <v>1417</v>
      </c>
      <c r="D31" s="13" t="s">
        <v>1418</v>
      </c>
      <c r="E31" s="7"/>
      <c r="F31" s="7" t="s">
        <v>868</v>
      </c>
      <c r="G31" s="7" t="str">
        <f t="shared" si="3"/>
        <v>text</v>
      </c>
      <c r="H31" s="58"/>
      <c r="I31" s="23"/>
      <c r="J31" s="24" t="s">
        <v>1431</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milscm_2023_010.azn_202310_backup_merge_mml_pc_problem.chiryo_order IS '治療処置オーダー';</v>
      </c>
    </row>
    <row r="32" spans="1:45" s="25" customFormat="1" ht="38.25" thickBot="1">
      <c r="A32" s="4"/>
      <c r="B32" s="27">
        <f>ROW()-12</f>
        <v>20</v>
      </c>
      <c r="C32" s="57" t="s">
        <v>1419</v>
      </c>
      <c r="D32" s="57" t="s">
        <v>1420</v>
      </c>
      <c r="E32" s="56"/>
      <c r="F32" s="56" t="s">
        <v>868</v>
      </c>
      <c r="G32" s="56" t="str">
        <f t="shared" si="3"/>
        <v>text</v>
      </c>
      <c r="H32" s="59"/>
      <c r="I32" s="60"/>
      <c r="J32" s="64" t="s">
        <v>1432</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300-000000000000}"/>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ENT_01_C4-08</v>
      </c>
      <c r="E6" s="239"/>
      <c r="F6" s="239"/>
      <c r="G6" s="239"/>
      <c r="H6" s="239"/>
      <c r="I6" s="239"/>
      <c r="J6" s="240"/>
    </row>
    <row r="7" spans="1:45">
      <c r="B7" s="228" t="s">
        <v>115</v>
      </c>
      <c r="C7" s="229"/>
      <c r="D7" s="230" t="s">
        <v>1434</v>
      </c>
      <c r="E7" s="231"/>
      <c r="F7" s="231"/>
      <c r="G7" s="231"/>
      <c r="H7" s="231"/>
      <c r="I7" s="231"/>
      <c r="J7" s="232"/>
    </row>
    <row r="8" spans="1:45">
      <c r="B8" s="228" t="s">
        <v>116</v>
      </c>
      <c r="C8" s="229"/>
      <c r="D8" s="230" t="str">
        <f>エンティティ一覧!AE2&amp;"_"&amp;D5&amp;"_merge_mml_pc_physical_exam"</f>
        <v>azn_202310_backup_merge_mml_pc_physical_exam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milscm_2023_010.azn_202310_backup_merge_mml_pc_physical_exam;</v>
      </c>
      <c r="O10" s="78"/>
      <c r="P10" s="78"/>
      <c r="Q10" s="78"/>
      <c r="R10" s="78"/>
      <c r="S10" s="78"/>
      <c r="T10" s="78"/>
      <c r="AJ10" s="78" t="str">
        <f>"ALTER TABLE ONLY "&amp;エンティティ一覧!$O$2&amp;"."&amp;D$8</f>
        <v>ALTER TABLE ONLY milscm_2023_010.azn_202310_backup_merge_mml_pc_physical_exam</v>
      </c>
      <c r="AS10" s="78" t="str">
        <f>"ALTER TABLE "&amp;エンティティ一覧!$O$2&amp;"."&amp;D$8&amp;" OWNER TO pgmisgrp1;"</f>
        <v>ALTER TABLE milscm_2023_010.azn_202310_backup_merge_mml_pc_physical_exam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milscm_2023_010.azn_202310_backup_merge_mml_pc_physical_exam</v>
      </c>
      <c r="O11" s="78"/>
      <c r="P11" s="78"/>
      <c r="Q11" s="78"/>
      <c r="R11" s="78"/>
      <c r="S11" s="78"/>
      <c r="T11" s="78"/>
      <c r="AJ11" s="78" t="str">
        <f>"ADD CONSTRAINT "&amp;D$8&amp;"_pkey PRIMARY KEY"</f>
        <v>ADD CONSTRAINT azn_202310_backup_merge_mml_pc_physical_exam_pkey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milscm_2023_010.azn_202310_backup_merge_mml_pc_physical_exam IS 'バックアップ_経過記録情報モジュール_身体所見レコード';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milscm_2023_010.azn_202310_backup_merge_mml_pc_physical_exam.torikomi_ym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milscm_2023_010.azn_202310_backup_merge_mml_pc_physical_exam.mil_karute_id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milscm_2023_010.azn_202310_backup_merge_mml_pc_physical_exam.facility_id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milscm_2023_010.azn_202310_backup_merge_mml_pc_physical_exam.shinryo_ymd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milscm_2023_010.azn_202310_backup_merge_mml_pc_physical_exam.data_type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milscm_2023_010.azn_202310_backup_merge_mml_pc_physical_exam.master_id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milscm_2023_010.azn_202310_backup_merge_mml_pc_physical_exam.uid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milscm_2023_010.azn_202310_backup_merge_mml_pc_physical_exam.keika_seq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milscm_2023_010.azn_202310_backup_merge_mml_pc_physical_exam.problem_seq IS 'プロブレムSEQ';</v>
      </c>
    </row>
    <row r="22" spans="1:52" s="25" customFormat="1">
      <c r="A22" s="4"/>
      <c r="B22" s="21">
        <f t="shared" si="2"/>
        <v>10</v>
      </c>
      <c r="C22" s="13" t="s">
        <v>1435</v>
      </c>
      <c r="D22" s="13" t="s">
        <v>1436</v>
      </c>
      <c r="E22" s="7" t="s">
        <v>127</v>
      </c>
      <c r="F22" s="7" t="s">
        <v>205</v>
      </c>
      <c r="G22" s="7" t="str">
        <f t="shared" si="3"/>
        <v>integer</v>
      </c>
      <c r="H22" s="58"/>
      <c r="I22" s="23" t="s">
        <v>127</v>
      </c>
      <c r="J22" s="24" t="s">
        <v>1443</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milscm_2023_010.azn_202310_backup_merge_mml_pc_physical_exam.syoken_seq IS '身体所見SEQ';</v>
      </c>
    </row>
    <row r="23" spans="1:52" s="25" customFormat="1">
      <c r="A23" s="4"/>
      <c r="B23" s="21">
        <f t="shared" si="2"/>
        <v>11</v>
      </c>
      <c r="C23" s="13" t="s">
        <v>1437</v>
      </c>
      <c r="D23" s="13" t="s">
        <v>1438</v>
      </c>
      <c r="E23" s="7"/>
      <c r="F23" s="7" t="s">
        <v>868</v>
      </c>
      <c r="G23" s="7" t="str">
        <f t="shared" si="3"/>
        <v>text</v>
      </c>
      <c r="H23" s="58"/>
      <c r="I23" s="23"/>
      <c r="J23" s="24" t="s">
        <v>1444</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milscm_2023_010.azn_202310_backup_merge_mml_pc_physical_exam.syoken_item_name IS '所見項目名';</v>
      </c>
    </row>
    <row r="24" spans="1:52" s="25" customFormat="1">
      <c r="A24" s="4"/>
      <c r="B24" s="21">
        <f t="shared" si="2"/>
        <v>12</v>
      </c>
      <c r="C24" s="13" t="s">
        <v>1439</v>
      </c>
      <c r="D24" s="13" t="s">
        <v>1440</v>
      </c>
      <c r="E24" s="7"/>
      <c r="F24" s="7" t="s">
        <v>868</v>
      </c>
      <c r="G24" s="7" t="str">
        <f t="shared" si="3"/>
        <v>text</v>
      </c>
      <c r="H24" s="58"/>
      <c r="I24" s="23"/>
      <c r="J24" s="24" t="s">
        <v>1445</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milscm_2023_010.azn_202310_backup_merge_mml_pc_physical_exam.syoken_value IS '身体所見結果';</v>
      </c>
    </row>
    <row r="25" spans="1:52" s="25" customFormat="1" ht="38.25" thickBot="1">
      <c r="A25" s="4"/>
      <c r="B25" s="27">
        <f>ROW()-12</f>
        <v>13</v>
      </c>
      <c r="C25" s="57" t="s">
        <v>1441</v>
      </c>
      <c r="D25" s="57" t="s">
        <v>1442</v>
      </c>
      <c r="E25" s="56"/>
      <c r="F25" s="56" t="s">
        <v>868</v>
      </c>
      <c r="G25" s="56" t="str">
        <f t="shared" si="3"/>
        <v>text</v>
      </c>
      <c r="H25" s="59"/>
      <c r="I25" s="60"/>
      <c r="J25" s="64" t="s">
        <v>1446</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400-000000000000}"/>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ENT_01_C4-15</v>
      </c>
      <c r="E6" s="239"/>
      <c r="F6" s="239"/>
      <c r="G6" s="239"/>
      <c r="H6" s="239"/>
      <c r="I6" s="239"/>
      <c r="J6" s="240"/>
    </row>
    <row r="7" spans="1:45">
      <c r="B7" s="228" t="s">
        <v>115</v>
      </c>
      <c r="C7" s="229"/>
      <c r="D7" s="230" t="s">
        <v>1448</v>
      </c>
      <c r="E7" s="231"/>
      <c r="F7" s="231"/>
      <c r="G7" s="231"/>
      <c r="H7" s="231"/>
      <c r="I7" s="231"/>
      <c r="J7" s="232"/>
    </row>
    <row r="8" spans="1:45">
      <c r="B8" s="228" t="s">
        <v>116</v>
      </c>
      <c r="C8" s="229"/>
      <c r="D8" s="230" t="str">
        <f>エンティティ一覧!AE2&amp;"_"&amp;D5&amp;"_merge_mml_pc_assessment"</f>
        <v>azn_202310_backup_merge_mml_pc_assessment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milscm_2023_010.azn_202310_backup_merge_mml_pc_assessment;</v>
      </c>
      <c r="O10" s="78"/>
      <c r="P10" s="78"/>
      <c r="Q10" s="78"/>
      <c r="R10" s="78"/>
      <c r="S10" s="78"/>
      <c r="T10" s="78"/>
      <c r="AJ10" s="78" t="str">
        <f>"ALTER TABLE ONLY "&amp;エンティティ一覧!$O$2&amp;"."&amp;D$8</f>
        <v>ALTER TABLE ONLY milscm_2023_010.azn_202310_backup_merge_mml_pc_assessment</v>
      </c>
      <c r="AS10" s="78" t="str">
        <f>"ALTER TABLE "&amp;エンティティ一覧!$O$2&amp;"."&amp;D$8&amp;" OWNER TO pgmisgrp1;"</f>
        <v>ALTER TABLE milscm_2023_010.azn_202310_backup_merge_mml_pc_assessment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milscm_2023_010.azn_202310_backup_merge_mml_pc_assessment</v>
      </c>
      <c r="O11" s="78"/>
      <c r="P11" s="78"/>
      <c r="Q11" s="78"/>
      <c r="R11" s="78"/>
      <c r="S11" s="78"/>
      <c r="T11" s="78"/>
      <c r="AJ11" s="78" t="str">
        <f>"ADD CONSTRAINT "&amp;D$8&amp;"_pkey PRIMARY KEY"</f>
        <v>ADD CONSTRAINT azn_202310_backup_merge_mml_pc_assessment_pkey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milscm_2023_010.azn_202310_backup_merge_mml_pc_assessment IS 'バックアップ_経過記録情報モジュール_アセスメントレコード';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milscm_2023_010.azn_202310_backup_merge_mml_pc_assessment.torikomi_ym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milscm_2023_010.azn_202310_backup_merge_mml_pc_assessment.mil_karute_id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milscm_2023_010.azn_202310_backup_merge_mml_pc_assessment.facility_id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milscm_2023_010.azn_202310_backup_merge_mml_pc_assessment.shinryo_ymd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milscm_2023_010.azn_202310_backup_merge_mml_pc_assessment.data_type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milscm_2023_010.azn_202310_backup_merge_mml_pc_assessment.master_id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milscm_2023_010.azn_202310_backup_merge_mml_pc_assessment.uid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milscm_2023_010.azn_202310_backup_merge_mml_pc_assessment.keika_seq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milscm_2023_010.azn_202310_backup_merge_mml_pc_assessment.problem_seq IS 'プロブレムSEQ';</v>
      </c>
    </row>
    <row r="22" spans="1:52" s="25" customFormat="1">
      <c r="A22" s="4"/>
      <c r="B22" s="21">
        <f t="shared" si="2"/>
        <v>10</v>
      </c>
      <c r="C22" s="13" t="s">
        <v>1449</v>
      </c>
      <c r="D22" s="13" t="s">
        <v>1450</v>
      </c>
      <c r="E22" s="7" t="s">
        <v>127</v>
      </c>
      <c r="F22" s="7" t="s">
        <v>205</v>
      </c>
      <c r="G22" s="7" t="str">
        <f t="shared" si="3"/>
        <v>integer</v>
      </c>
      <c r="H22" s="58"/>
      <c r="I22" s="23" t="s">
        <v>127</v>
      </c>
      <c r="J22" s="24" t="s">
        <v>1453</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milscm_2023_010.azn_202310_backup_merge_mml_pc_assessment.assessment_item_seq IS 'アセスメントSEQ';</v>
      </c>
    </row>
    <row r="23" spans="1:52" s="25" customFormat="1" ht="38.25" thickBot="1">
      <c r="A23" s="4"/>
      <c r="B23" s="27">
        <f>ROW()-12</f>
        <v>11</v>
      </c>
      <c r="C23" s="57" t="s">
        <v>1451</v>
      </c>
      <c r="D23" s="57" t="s">
        <v>1452</v>
      </c>
      <c r="E23" s="56"/>
      <c r="F23" s="56" t="s">
        <v>868</v>
      </c>
      <c r="G23" s="56" t="str">
        <f t="shared" si="3"/>
        <v>text</v>
      </c>
      <c r="H23" s="59"/>
      <c r="I23" s="60"/>
      <c r="J23" s="64" t="s">
        <v>1454</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500-000000000000}"/>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ENT_01_C4-22</v>
      </c>
      <c r="E6" s="239"/>
      <c r="F6" s="239"/>
      <c r="G6" s="239"/>
      <c r="H6" s="239"/>
      <c r="I6" s="239"/>
      <c r="J6" s="240"/>
    </row>
    <row r="7" spans="1:45">
      <c r="B7" s="228" t="s">
        <v>115</v>
      </c>
      <c r="C7" s="229"/>
      <c r="D7" s="230" t="s">
        <v>1456</v>
      </c>
      <c r="E7" s="231"/>
      <c r="F7" s="231"/>
      <c r="G7" s="231"/>
      <c r="H7" s="231"/>
      <c r="I7" s="231"/>
      <c r="J7" s="232"/>
    </row>
    <row r="8" spans="1:45">
      <c r="B8" s="228" t="s">
        <v>116</v>
      </c>
      <c r="C8" s="229"/>
      <c r="D8" s="230" t="str">
        <f>エンティティ一覧!AE2&amp;"_"&amp;D5&amp;"_merge_mml_pc_external_reference"</f>
        <v>azn_202310_backup_merge_mml_pc_external_reference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milscm_2023_010.azn_202310_backup_merge_mml_pc_external_reference;</v>
      </c>
      <c r="O10" s="78"/>
      <c r="P10" s="78"/>
      <c r="Q10" s="78"/>
      <c r="R10" s="78"/>
      <c r="S10" s="78"/>
      <c r="T10" s="78"/>
      <c r="AJ10" s="78" t="str">
        <f>"ALTER TABLE ONLY "&amp;エンティティ一覧!$O$2&amp;"."&amp;D$8</f>
        <v>ALTER TABLE ONLY milscm_2023_010.azn_202310_backup_merge_mml_pc_external_reference</v>
      </c>
      <c r="AS10" s="78" t="str">
        <f>"ALTER TABLE "&amp;エンティティ一覧!$O$2&amp;"."&amp;D$8&amp;" OWNER TO pgmisgrp1;"</f>
        <v>ALTER TABLE milscm_2023_010.azn_202310_backup_merge_mml_pc_external_reference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milscm_2023_010.azn_202310_backup_merge_mml_pc_external_reference</v>
      </c>
      <c r="O11" s="78"/>
      <c r="P11" s="78"/>
      <c r="Q11" s="78"/>
      <c r="R11" s="78"/>
      <c r="S11" s="78"/>
      <c r="T11" s="78"/>
      <c r="AJ11" s="78" t="str">
        <f>"ADD CONSTRAINT "&amp;D$8&amp;"_pkey PRIMARY KEY"</f>
        <v>ADD CONSTRAINT azn_202310_backup_merge_mml_pc_external_reference_pkey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milscm_2023_010.azn_202310_backup_merge_mml_pc_external_reference IS 'バックアップ_経過記録情報モジュール_外部参照レコード';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milscm_2023_010.azn_202310_backup_merge_mml_pc_external_reference.torikomi_ym IS '取込年月';</v>
      </c>
    </row>
    <row r="14" spans="1:45" s="25" customFormat="1">
      <c r="A14" s="4"/>
      <c r="B14" s="21">
        <f t="shared" ref="B14:B26" si="2">ROW()-12</f>
        <v>2</v>
      </c>
      <c r="C14" s="6" t="s">
        <v>203</v>
      </c>
      <c r="D14" s="6" t="s">
        <v>204</v>
      </c>
      <c r="E14" s="8"/>
      <c r="F14" s="7" t="s">
        <v>205</v>
      </c>
      <c r="G14" s="7" t="str">
        <f t="shared" ref="G14:G27" si="3">IF(F14="フラグ","boolean",IF(F14="文字列","text",IF(F14="整数","integer",IF(F14="実数","numeric",""))))</f>
        <v>integer</v>
      </c>
      <c r="H14" s="26"/>
      <c r="I14" s="10"/>
      <c r="J14" s="11" t="s">
        <v>1327</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milscm_2023_010.azn_202310_backup_merge_mml_pc_external_reference.mil_karute_id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milscm_2023_010.azn_202310_backup_merge_mml_pc_external_reference.facility_id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milscm_2023_010.azn_202310_backup_merge_mml_pc_external_reference.shinryo_ymd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milscm_2023_010.azn_202310_backup_merge_mml_pc_external_reference.data_type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milscm_2023_010.azn_202310_backup_merge_mml_pc_external_reference.master_id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milscm_2023_010.azn_202310_backup_merge_mml_pc_external_reference.uid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milscm_2023_010.azn_202310_backup_merge_mml_pc_external_reference.keika_seq IS '経過記録SEQ';</v>
      </c>
    </row>
    <row r="21" spans="1:52" s="25" customFormat="1" ht="187.5">
      <c r="A21" s="4"/>
      <c r="B21" s="21">
        <f t="shared" si="2"/>
        <v>9</v>
      </c>
      <c r="C21" s="13" t="s">
        <v>1457</v>
      </c>
      <c r="D21" s="13" t="s">
        <v>1458</v>
      </c>
      <c r="E21" s="7" t="s">
        <v>127</v>
      </c>
      <c r="F21" s="7" t="s">
        <v>868</v>
      </c>
      <c r="G21" s="7" t="str">
        <f t="shared" si="3"/>
        <v>text</v>
      </c>
      <c r="H21" s="58"/>
      <c r="I21" s="23" t="s">
        <v>127</v>
      </c>
      <c r="J21" s="24" t="s">
        <v>1471</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milscm_2023_010.azn_202310_backup_merge_mml_pc_external_reference.gaibu_sansyo_moto IS '外部参照元';</v>
      </c>
    </row>
    <row r="22" spans="1:52" s="25" customFormat="1">
      <c r="A22" s="4"/>
      <c r="B22" s="21">
        <f t="shared" si="2"/>
        <v>10</v>
      </c>
      <c r="C22" s="13" t="s">
        <v>1459</v>
      </c>
      <c r="D22" s="13" t="s">
        <v>1460</v>
      </c>
      <c r="E22" s="7" t="s">
        <v>127</v>
      </c>
      <c r="F22" s="7" t="s">
        <v>205</v>
      </c>
      <c r="G22" s="7" t="str">
        <f t="shared" si="3"/>
        <v>integer</v>
      </c>
      <c r="H22" s="58"/>
      <c r="I22" s="23" t="s">
        <v>127</v>
      </c>
      <c r="J22" s="24" t="s">
        <v>1472</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milscm_2023_010.azn_202310_backup_merge_mml_pc_external_reference.gaibu_sansyo_seq IS '外部参照SEQ';</v>
      </c>
    </row>
    <row r="23" spans="1:52" s="25" customFormat="1">
      <c r="A23" s="4"/>
      <c r="B23" s="21">
        <f t="shared" si="2"/>
        <v>11</v>
      </c>
      <c r="C23" s="13" t="s">
        <v>1461</v>
      </c>
      <c r="D23" s="13" t="s">
        <v>1462</v>
      </c>
      <c r="E23" s="7"/>
      <c r="F23" s="7" t="s">
        <v>868</v>
      </c>
      <c r="G23" s="7" t="str">
        <f t="shared" si="3"/>
        <v>text</v>
      </c>
      <c r="H23" s="58"/>
      <c r="I23" s="23"/>
      <c r="J23" s="24" t="s">
        <v>1473</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milscm_2023_010.azn_202310_backup_merge_mml_pc_external_reference.content_type IS 'コンテンツ種別';</v>
      </c>
    </row>
    <row r="24" spans="1:52" s="25" customFormat="1" ht="37.5">
      <c r="A24" s="4"/>
      <c r="B24" s="21">
        <f t="shared" si="2"/>
        <v>12</v>
      </c>
      <c r="C24" s="13" t="s">
        <v>1463</v>
      </c>
      <c r="D24" s="13" t="s">
        <v>1464</v>
      </c>
      <c r="E24" s="7"/>
      <c r="F24" s="7" t="s">
        <v>868</v>
      </c>
      <c r="G24" s="7" t="str">
        <f t="shared" si="3"/>
        <v>text</v>
      </c>
      <c r="H24" s="58"/>
      <c r="I24" s="23"/>
      <c r="J24" s="24" t="s">
        <v>1474</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milscm_2023_010.azn_202310_backup_merge_mml_pc_external_reference.igaku_role IS '医学的役割';</v>
      </c>
    </row>
    <row r="25" spans="1:52" s="25" customFormat="1">
      <c r="A25" s="4"/>
      <c r="B25" s="21">
        <f t="shared" si="2"/>
        <v>13</v>
      </c>
      <c r="C25" s="13" t="s">
        <v>1465</v>
      </c>
      <c r="D25" s="13" t="s">
        <v>1466</v>
      </c>
      <c r="E25" s="7"/>
      <c r="F25" s="7" t="s">
        <v>868</v>
      </c>
      <c r="G25" s="7" t="str">
        <f t="shared" si="3"/>
        <v>text</v>
      </c>
      <c r="H25" s="58"/>
      <c r="I25" s="23"/>
      <c r="J25" s="24" t="s">
        <v>1475</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milscm_2023_010.azn_202310_backup_merge_mml_pc_external_reference.gaibu_sansyo_file_name IS '外部参照ファイル名';</v>
      </c>
    </row>
    <row r="26" spans="1:52" s="25" customFormat="1">
      <c r="A26" s="4"/>
      <c r="B26" s="21">
        <f t="shared" si="2"/>
        <v>14</v>
      </c>
      <c r="C26" s="13" t="s">
        <v>1467</v>
      </c>
      <c r="D26" s="13" t="s">
        <v>1468</v>
      </c>
      <c r="E26" s="7"/>
      <c r="F26" s="7" t="s">
        <v>868</v>
      </c>
      <c r="G26" s="7" t="str">
        <f t="shared" si="3"/>
        <v>text</v>
      </c>
      <c r="H26" s="58"/>
      <c r="I26" s="23"/>
      <c r="J26" s="24" t="s">
        <v>1476</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milscm_2023_010.azn_202310_backup_merge_mml_pc_external_reference.gaibu_sansyo_saki IS '外部参照先';</v>
      </c>
    </row>
    <row r="27" spans="1:52" s="25" customFormat="1" ht="19.5" thickBot="1">
      <c r="A27" s="4"/>
      <c r="B27" s="27">
        <f>ROW()-12</f>
        <v>15</v>
      </c>
      <c r="C27" s="57" t="s">
        <v>1469</v>
      </c>
      <c r="D27" s="57" t="s">
        <v>1470</v>
      </c>
      <c r="E27" s="56"/>
      <c r="F27" s="56" t="s">
        <v>868</v>
      </c>
      <c r="G27" s="56" t="str">
        <f t="shared" si="3"/>
        <v>text</v>
      </c>
      <c r="H27" s="59"/>
      <c r="I27" s="60"/>
      <c r="J27" s="64" t="s">
        <v>1477</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600-000000000000}"/>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ENT_01_C4-23</v>
      </c>
      <c r="E6" s="239"/>
      <c r="F6" s="239"/>
      <c r="G6" s="239"/>
      <c r="H6" s="239"/>
      <c r="I6" s="239"/>
      <c r="J6" s="240"/>
    </row>
    <row r="7" spans="1:45">
      <c r="B7" s="228" t="s">
        <v>115</v>
      </c>
      <c r="C7" s="229"/>
      <c r="D7" s="230" t="s">
        <v>1479</v>
      </c>
      <c r="E7" s="231"/>
      <c r="F7" s="231"/>
      <c r="G7" s="231"/>
      <c r="H7" s="231"/>
      <c r="I7" s="231"/>
      <c r="J7" s="232"/>
    </row>
    <row r="8" spans="1:45">
      <c r="B8" s="228" t="s">
        <v>116</v>
      </c>
      <c r="C8" s="229"/>
      <c r="D8" s="230" t="str">
        <f>エンティティ一覧!AE2&amp;"_"&amp;D5&amp;"_merge_mml_sm_summary"</f>
        <v>azn_202310_backup_merge_mml_sm_summary</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milscm_2023_010.azn_202310_backup_merge_mml_sm_summary;</v>
      </c>
      <c r="O10" s="78"/>
      <c r="P10" s="78"/>
      <c r="Q10" s="78"/>
      <c r="R10" s="78"/>
      <c r="S10" s="78"/>
      <c r="T10" s="78"/>
      <c r="AJ10" s="78" t="str">
        <f>"ALTER TABLE ONLY "&amp;エンティティ一覧!$O$2&amp;"."&amp;D$8</f>
        <v>ALTER TABLE ONLY milscm_2023_010.azn_202310_backup_merge_mml_sm_summary</v>
      </c>
      <c r="AS10" s="78" t="str">
        <f>"ALTER TABLE "&amp;エンティティ一覧!$O$2&amp;"."&amp;D$8&amp;" OWNER TO pgmisgrp1;"</f>
        <v>ALTER TABLE milscm_2023_010.azn_202310_backup_merge_mml_sm_summary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milscm_2023_010.azn_202310_backup_merge_mml_sm_summary</v>
      </c>
      <c r="O11" s="78"/>
      <c r="P11" s="78"/>
      <c r="Q11" s="78"/>
      <c r="R11" s="78"/>
      <c r="S11" s="78"/>
      <c r="T11" s="78"/>
      <c r="AJ11" s="78" t="str">
        <f>"ADD CONSTRAINT "&amp;D$8&amp;"_pkey PRIMARY KEY"</f>
        <v>ADD CONSTRAINT azn_202310_backup_merge_mml_sm_summary_pkey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milscm_2023_010.azn_202310_backup_merge_mml_sm_summary IS 'バックアップ_臨床サマリーモジュール_臨床サマリー情報レコード';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milscm_2023_010.azn_202310_backup_merge_mml_sm_summary.torikomi_ym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milscm_2023_010.azn_202310_backup_merge_mml_sm_summary.mil_karute_id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milscm_2023_010.azn_202310_backup_merge_mml_sm_summary.facility_id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milscm_2023_010.azn_202310_backup_merge_mml_sm_summary.shinryo_ymd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milscm_2023_010.azn_202310_backup_merge_mml_sm_summary.data_type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milscm_2023_010.azn_202310_backup_merge_mml_sm_summary.master_id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milscm_2023_010.azn_202310_backup_merge_mml_sm_summary.uid IS '文書ユニークID';</v>
      </c>
    </row>
    <row r="20" spans="1:45"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milscm_2023_010.azn_202310_backup_merge_mml_sm_summary.summary_seq IS '臨床サマリーSEQ';</v>
      </c>
    </row>
    <row r="21" spans="1:45" s="25" customFormat="1" ht="37.5">
      <c r="A21" s="4"/>
      <c r="B21" s="21">
        <f t="shared" si="2"/>
        <v>9</v>
      </c>
      <c r="C21" s="13" t="s">
        <v>1482</v>
      </c>
      <c r="D21" s="13" t="s">
        <v>1483</v>
      </c>
      <c r="E21" s="7"/>
      <c r="F21" s="7" t="s">
        <v>868</v>
      </c>
      <c r="G21" s="7" t="str">
        <f t="shared" si="3"/>
        <v>text</v>
      </c>
      <c r="H21" s="58"/>
      <c r="I21" s="23"/>
      <c r="J21" s="24" t="s">
        <v>1507</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milscm_2023_010.azn_202310_backup_merge_mml_sm_summary.history_start_ymd IS 'サマリー対象期間の開始日';</v>
      </c>
    </row>
    <row r="22" spans="1:45" s="25" customFormat="1" ht="37.5">
      <c r="A22" s="4"/>
      <c r="B22" s="21">
        <f t="shared" si="2"/>
        <v>10</v>
      </c>
      <c r="C22" s="13" t="s">
        <v>1484</v>
      </c>
      <c r="D22" s="13" t="s">
        <v>1485</v>
      </c>
      <c r="E22" s="7"/>
      <c r="F22" s="7" t="s">
        <v>868</v>
      </c>
      <c r="G22" s="7" t="str">
        <f t="shared" si="3"/>
        <v>text</v>
      </c>
      <c r="H22" s="58"/>
      <c r="I22" s="23"/>
      <c r="J22" s="24" t="s">
        <v>1508</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milscm_2023_010.azn_202310_backup_merge_mml_sm_summary.history_end_ymd IS 'サマリー対象期間の終了日';</v>
      </c>
    </row>
    <row r="23" spans="1:45" s="25" customFormat="1">
      <c r="A23" s="4"/>
      <c r="B23" s="21">
        <f t="shared" si="2"/>
        <v>11</v>
      </c>
      <c r="C23" s="13" t="s">
        <v>1486</v>
      </c>
      <c r="D23" s="13" t="s">
        <v>1487</v>
      </c>
      <c r="E23" s="7"/>
      <c r="F23" s="7" t="s">
        <v>868</v>
      </c>
      <c r="G23" s="7" t="str">
        <f t="shared" si="3"/>
        <v>text</v>
      </c>
      <c r="H23" s="58"/>
      <c r="I23" s="23"/>
      <c r="J23" s="24" t="s">
        <v>1509</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milscm_2023_010.azn_202310_backup_merge_mml_sm_summary.death_info IS '死亡関連情報';</v>
      </c>
    </row>
    <row r="24" spans="1:45" s="25" customFormat="1" ht="37.5">
      <c r="A24" s="4"/>
      <c r="B24" s="21">
        <f t="shared" si="2"/>
        <v>12</v>
      </c>
      <c r="C24" s="13" t="s">
        <v>1325</v>
      </c>
      <c r="D24" s="13" t="s">
        <v>1326</v>
      </c>
      <c r="E24" s="7"/>
      <c r="F24" s="7" t="s">
        <v>868</v>
      </c>
      <c r="G24" s="7" t="str">
        <f t="shared" si="3"/>
        <v>text</v>
      </c>
      <c r="H24" s="58"/>
      <c r="I24" s="23"/>
      <c r="J24" s="24" t="s">
        <v>1510</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milscm_2023_010.azn_202310_backup_merge_mml_sm_summary.death_date IS '死亡日時';</v>
      </c>
    </row>
    <row r="25" spans="1:45" s="25" customFormat="1" ht="37.5">
      <c r="A25" s="4"/>
      <c r="B25" s="21">
        <f t="shared" si="2"/>
        <v>13</v>
      </c>
      <c r="C25" s="13" t="s">
        <v>1488</v>
      </c>
      <c r="D25" s="13" t="s">
        <v>1489</v>
      </c>
      <c r="E25" s="7"/>
      <c r="F25" s="7" t="s">
        <v>868</v>
      </c>
      <c r="G25" s="7" t="str">
        <f t="shared" si="3"/>
        <v>text</v>
      </c>
      <c r="H25" s="58"/>
      <c r="I25" s="23"/>
      <c r="J25" s="24" t="s">
        <v>1511</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milscm_2023_010.azn_202310_backup_merge_mml_sm_summary.death_autopsy_flag IS '剖検の有無';</v>
      </c>
    </row>
    <row r="26" spans="1:45" s="25" customFormat="1" ht="37.5">
      <c r="A26" s="4"/>
      <c r="B26" s="21">
        <f t="shared" si="2"/>
        <v>14</v>
      </c>
      <c r="C26" s="13" t="s">
        <v>1490</v>
      </c>
      <c r="D26" s="13" t="s">
        <v>1491</v>
      </c>
      <c r="E26" s="7"/>
      <c r="F26" s="7" t="s">
        <v>868</v>
      </c>
      <c r="G26" s="7" t="str">
        <f t="shared" si="3"/>
        <v>text</v>
      </c>
      <c r="H26" s="58"/>
      <c r="I26" s="23"/>
      <c r="J26" s="24" t="s">
        <v>1512</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milscm_2023_010.azn_202310_backup_merge_mml_sm_summary.chief_complaints IS '主訴';</v>
      </c>
    </row>
    <row r="27" spans="1:45" s="25" customFormat="1" ht="37.5">
      <c r="A27" s="4"/>
      <c r="B27" s="21">
        <f t="shared" si="2"/>
        <v>15</v>
      </c>
      <c r="C27" s="13" t="s">
        <v>1492</v>
      </c>
      <c r="D27" s="13" t="s">
        <v>1493</v>
      </c>
      <c r="E27" s="7"/>
      <c r="F27" s="7" t="s">
        <v>868</v>
      </c>
      <c r="G27" s="7" t="str">
        <f t="shared" si="3"/>
        <v>text</v>
      </c>
      <c r="H27" s="58"/>
      <c r="I27" s="23"/>
      <c r="J27" s="24" t="s">
        <v>1513</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milscm_2023_010.azn_202310_backup_merge_mml_sm_summary.patient_profile IS '患者プロフィール';</v>
      </c>
    </row>
    <row r="28" spans="1:45" s="25" customFormat="1" ht="37.5">
      <c r="A28" s="4"/>
      <c r="B28" s="21">
        <f t="shared" si="2"/>
        <v>16</v>
      </c>
      <c r="C28" s="13" t="s">
        <v>1494</v>
      </c>
      <c r="D28" s="13" t="s">
        <v>1495</v>
      </c>
      <c r="E28" s="7"/>
      <c r="F28" s="7" t="s">
        <v>868</v>
      </c>
      <c r="G28" s="7" t="str">
        <f t="shared" si="3"/>
        <v>text</v>
      </c>
      <c r="H28" s="58"/>
      <c r="I28" s="23"/>
      <c r="J28" s="24" t="s">
        <v>1514</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milscm_2023_010.azn_202310_backup_merge_mml_sm_summary.nyuin_history IS '入院までの経過';</v>
      </c>
    </row>
    <row r="29" spans="1:45" s="25" customFormat="1" ht="37.5">
      <c r="A29" s="4"/>
      <c r="B29" s="21">
        <f t="shared" si="2"/>
        <v>17</v>
      </c>
      <c r="C29" s="13" t="s">
        <v>1496</v>
      </c>
      <c r="D29" s="13" t="s">
        <v>1497</v>
      </c>
      <c r="E29" s="7"/>
      <c r="F29" s="7" t="s">
        <v>868</v>
      </c>
      <c r="G29" s="7" t="str">
        <f t="shared" si="3"/>
        <v>text</v>
      </c>
      <c r="H29" s="58"/>
      <c r="I29" s="23"/>
      <c r="J29" s="24" t="s">
        <v>1515</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milscm_2023_010.azn_202310_backup_merge_mml_sm_summary.nyuin_physical_exam IS '入院時理学所見';</v>
      </c>
    </row>
    <row r="30" spans="1:45" s="25" customFormat="1" ht="37.5">
      <c r="A30" s="4"/>
      <c r="B30" s="21">
        <f t="shared" si="2"/>
        <v>18</v>
      </c>
      <c r="C30" s="13" t="s">
        <v>1498</v>
      </c>
      <c r="D30" s="13" t="s">
        <v>1499</v>
      </c>
      <c r="E30" s="7"/>
      <c r="F30" s="7" t="s">
        <v>868</v>
      </c>
      <c r="G30" s="7" t="str">
        <f t="shared" si="3"/>
        <v>text</v>
      </c>
      <c r="H30" s="58"/>
      <c r="I30" s="23"/>
      <c r="J30" s="24" t="s">
        <v>1516</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milscm_2023_010.azn_202310_backup_merge_mml_sm_summary.taiin_findings IS '退院時所見';</v>
      </c>
    </row>
    <row r="31" spans="1:45" s="25" customFormat="1" ht="37.5">
      <c r="A31" s="4"/>
      <c r="B31" s="21">
        <f t="shared" si="2"/>
        <v>19</v>
      </c>
      <c r="C31" s="13" t="s">
        <v>1500</v>
      </c>
      <c r="D31" s="13" t="s">
        <v>1501</v>
      </c>
      <c r="E31" s="7"/>
      <c r="F31" s="7" t="s">
        <v>868</v>
      </c>
      <c r="G31" s="7" t="str">
        <f t="shared" si="3"/>
        <v>text</v>
      </c>
      <c r="H31" s="58"/>
      <c r="I31" s="23"/>
      <c r="J31" s="24" t="s">
        <v>1517</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milscm_2023_010.azn_202310_backup_merge_mml_sm_summary.taiin_medication IS '退院時処方';</v>
      </c>
    </row>
    <row r="32" spans="1:45" s="25" customFormat="1" ht="37.5">
      <c r="A32" s="4"/>
      <c r="B32" s="21">
        <f t="shared" si="2"/>
        <v>20</v>
      </c>
      <c r="C32" s="13" t="s">
        <v>1502</v>
      </c>
      <c r="D32" s="13" t="s">
        <v>1503</v>
      </c>
      <c r="E32" s="7"/>
      <c r="F32" s="7" t="s">
        <v>868</v>
      </c>
      <c r="G32" s="7" t="str">
        <f t="shared" si="3"/>
        <v>text</v>
      </c>
      <c r="H32" s="58"/>
      <c r="I32" s="23"/>
      <c r="J32" s="24" t="s">
        <v>1518</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milscm_2023_010.azn_202310_backup_merge_mml_sm_summary.taiin_chiryo_plan IS '退院後治療方針';</v>
      </c>
    </row>
    <row r="33" spans="1:52" s="25" customFormat="1" ht="38.25" thickBot="1">
      <c r="A33" s="4"/>
      <c r="B33" s="27">
        <f>ROW()-12</f>
        <v>21</v>
      </c>
      <c r="C33" s="57" t="s">
        <v>1504</v>
      </c>
      <c r="D33" s="57" t="s">
        <v>1505</v>
      </c>
      <c r="E33" s="56"/>
      <c r="F33" s="56" t="s">
        <v>868</v>
      </c>
      <c r="G33" s="56" t="str">
        <f t="shared" si="3"/>
        <v>text</v>
      </c>
      <c r="H33" s="59"/>
      <c r="I33" s="60"/>
      <c r="J33" s="64" t="s">
        <v>1519</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700-000000000000}"/>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ENT_01_C4-24</v>
      </c>
      <c r="E6" s="239"/>
      <c r="F6" s="239"/>
      <c r="G6" s="239"/>
      <c r="H6" s="239"/>
      <c r="I6" s="239"/>
      <c r="J6" s="240"/>
    </row>
    <row r="7" spans="1:45">
      <c r="B7" s="228" t="s">
        <v>115</v>
      </c>
      <c r="C7" s="229"/>
      <c r="D7" s="230" t="s">
        <v>1521</v>
      </c>
      <c r="E7" s="231"/>
      <c r="F7" s="231"/>
      <c r="G7" s="231"/>
      <c r="H7" s="231"/>
      <c r="I7" s="231"/>
      <c r="J7" s="232"/>
    </row>
    <row r="8" spans="1:45">
      <c r="B8" s="228" t="s">
        <v>116</v>
      </c>
      <c r="C8" s="229"/>
      <c r="D8" s="230" t="str">
        <f>エンティティ一覧!AE2&amp;"_"&amp;D5&amp;"_merge_mml_sm_out_patient"</f>
        <v>azn_202310_backup_merge_mml_sm_out_patient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milscm_2023_010.azn_202310_backup_merge_mml_sm_out_patient;</v>
      </c>
      <c r="O10" s="78"/>
      <c r="P10" s="78"/>
      <c r="Q10" s="78"/>
      <c r="R10" s="78"/>
      <c r="S10" s="78"/>
      <c r="T10" s="78"/>
      <c r="AJ10" s="78" t="str">
        <f>"ALTER TABLE ONLY "&amp;エンティティ一覧!$O$2&amp;"."&amp;D$8</f>
        <v>ALTER TABLE ONLY milscm_2023_010.azn_202310_backup_merge_mml_sm_out_patient</v>
      </c>
      <c r="AS10" s="78" t="str">
        <f>"ALTER TABLE "&amp;エンティティ一覧!$O$2&amp;"."&amp;D$8&amp;" OWNER TO pgmisgrp1;"</f>
        <v>ALTER TABLE milscm_2023_010.azn_202310_backup_merge_mml_sm_out_patient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milscm_2023_010.azn_202310_backup_merge_mml_sm_out_patient</v>
      </c>
      <c r="O11" s="78"/>
      <c r="P11" s="78"/>
      <c r="Q11" s="78"/>
      <c r="R11" s="78"/>
      <c r="S11" s="78"/>
      <c r="T11" s="78"/>
      <c r="AJ11" s="78" t="str">
        <f>"ADD CONSTRAINT "&amp;D$8&amp;"_pkey PRIMARY KEY"</f>
        <v>ADD CONSTRAINT azn_202310_backup_merge_mml_sm_out_patient_pkey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milscm_2023_010.azn_202310_backup_merge_mml_sm_out_patient IS 'バックアップ_臨床サマリーモジュール_外来受診レコード';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milscm_2023_010.azn_202310_backup_merge_mml_sm_out_patient.torikomi_ym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milscm_2023_010.azn_202310_backup_merge_mml_sm_out_patient.mil_karute_id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milscm_2023_010.azn_202310_backup_merge_mml_sm_out_patient.facility_id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milscm_2023_010.azn_202310_backup_merge_mml_sm_out_patient.shinryo_ymd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milscm_2023_010.azn_202310_backup_merge_mml_sm_out_patient.data_type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milscm_2023_010.azn_202310_backup_merge_mml_sm_out_patient.master_id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milscm_2023_010.azn_202310_backup_merge_mml_sm_out_patient.uid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milscm_2023_010.azn_202310_backup_merge_mml_sm_out_patient.summary_seq IS '臨床サマリーSEQ';</v>
      </c>
    </row>
    <row r="21" spans="1:52" s="25" customFormat="1">
      <c r="A21" s="4"/>
      <c r="B21" s="21">
        <f t="shared" si="2"/>
        <v>9</v>
      </c>
      <c r="C21" s="13" t="s">
        <v>1522</v>
      </c>
      <c r="D21" s="13" t="s">
        <v>1523</v>
      </c>
      <c r="E21" s="7" t="s">
        <v>127</v>
      </c>
      <c r="F21" s="7" t="s">
        <v>205</v>
      </c>
      <c r="G21" s="7" t="str">
        <f t="shared" si="3"/>
        <v>integer</v>
      </c>
      <c r="H21" s="58"/>
      <c r="I21" s="23" t="s">
        <v>127</v>
      </c>
      <c r="J21" s="24" t="s">
        <v>1532</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milscm_2023_010.azn_202310_backup_merge_mml_sm_out_patient.gairai_seq IS '個々の外来受診歴SEQ';</v>
      </c>
    </row>
    <row r="22" spans="1:52" s="25" customFormat="1" ht="37.5">
      <c r="A22" s="4"/>
      <c r="B22" s="21">
        <f t="shared" si="2"/>
        <v>10</v>
      </c>
      <c r="C22" s="13" t="s">
        <v>1524</v>
      </c>
      <c r="D22" s="13" t="s">
        <v>1525</v>
      </c>
      <c r="E22" s="7"/>
      <c r="F22" s="7" t="s">
        <v>868</v>
      </c>
      <c r="G22" s="7" t="str">
        <f t="shared" si="3"/>
        <v>text</v>
      </c>
      <c r="H22" s="58"/>
      <c r="I22" s="23"/>
      <c r="J22" s="24" t="s">
        <v>1533</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milscm_2023_010.azn_202310_backup_merge_mml_sm_out_patient.gairai_ymd IS '外来受診年月日';</v>
      </c>
    </row>
    <row r="23" spans="1:52" s="25" customFormat="1">
      <c r="A23" s="4"/>
      <c r="B23" s="21">
        <f t="shared" si="2"/>
        <v>11</v>
      </c>
      <c r="C23" s="13" t="s">
        <v>1526</v>
      </c>
      <c r="D23" s="13" t="s">
        <v>1527</v>
      </c>
      <c r="E23" s="7"/>
      <c r="F23" s="7" t="s">
        <v>868</v>
      </c>
      <c r="G23" s="7" t="str">
        <f t="shared" si="3"/>
        <v>text</v>
      </c>
      <c r="H23" s="58"/>
      <c r="I23" s="23"/>
      <c r="J23" s="24" t="s">
        <v>1534</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milscm_2023_010.azn_202310_backup_merge_mml_sm_out_patient.gairai_state IS '外来受診状態';</v>
      </c>
    </row>
    <row r="24" spans="1:52" s="25" customFormat="1" ht="37.5">
      <c r="A24" s="4"/>
      <c r="B24" s="21">
        <f t="shared" si="2"/>
        <v>12</v>
      </c>
      <c r="C24" s="13" t="s">
        <v>1528</v>
      </c>
      <c r="D24" s="13" t="s">
        <v>1529</v>
      </c>
      <c r="E24" s="7"/>
      <c r="F24" s="7" t="s">
        <v>868</v>
      </c>
      <c r="G24" s="7" t="str">
        <f t="shared" si="3"/>
        <v>text</v>
      </c>
      <c r="H24" s="58"/>
      <c r="I24" s="23"/>
      <c r="J24" s="24" t="s">
        <v>1535</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milscm_2023_010.azn_202310_backup_merge_mml_sm_out_patient.first_flag IS '初診フラグ';</v>
      </c>
    </row>
    <row r="25" spans="1:52" s="25" customFormat="1" ht="57" thickBot="1">
      <c r="A25" s="4"/>
      <c r="B25" s="27">
        <f>ROW()-12</f>
        <v>13</v>
      </c>
      <c r="C25" s="57" t="s">
        <v>1530</v>
      </c>
      <c r="D25" s="57" t="s">
        <v>1531</v>
      </c>
      <c r="E25" s="56"/>
      <c r="F25" s="56" t="s">
        <v>868</v>
      </c>
      <c r="G25" s="56" t="str">
        <f t="shared" si="3"/>
        <v>text</v>
      </c>
      <c r="H25" s="59"/>
      <c r="I25" s="60"/>
      <c r="J25" s="64" t="s">
        <v>1536</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800-000000000000}"/>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ENT_01_C4-25</v>
      </c>
      <c r="E6" s="239"/>
      <c r="F6" s="239"/>
      <c r="G6" s="239"/>
      <c r="H6" s="239"/>
      <c r="I6" s="239"/>
      <c r="J6" s="240"/>
    </row>
    <row r="7" spans="1:45">
      <c r="B7" s="228" t="s">
        <v>115</v>
      </c>
      <c r="C7" s="229"/>
      <c r="D7" s="230" t="s">
        <v>1538</v>
      </c>
      <c r="E7" s="231"/>
      <c r="F7" s="231"/>
      <c r="G7" s="231"/>
      <c r="H7" s="231"/>
      <c r="I7" s="231"/>
      <c r="J7" s="232"/>
    </row>
    <row r="8" spans="1:45">
      <c r="B8" s="228" t="s">
        <v>116</v>
      </c>
      <c r="C8" s="229"/>
      <c r="D8" s="230" t="str">
        <f>エンティティ一覧!AE2&amp;"_"&amp;D5&amp;"_merge_mml_sm_in_patient"</f>
        <v>azn_202310_backup_merge_mml_sm_in_patient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milscm_2023_010.azn_202310_backup_merge_mml_sm_in_patient;</v>
      </c>
      <c r="O10" s="78"/>
      <c r="P10" s="78"/>
      <c r="Q10" s="78"/>
      <c r="R10" s="78"/>
      <c r="S10" s="78"/>
      <c r="T10" s="78"/>
      <c r="AJ10" s="78" t="str">
        <f>"ALTER TABLE ONLY "&amp;エンティティ一覧!$O$2&amp;"."&amp;D$8</f>
        <v>ALTER TABLE ONLY milscm_2023_010.azn_202310_backup_merge_mml_sm_in_patient</v>
      </c>
      <c r="AS10" s="78" t="str">
        <f>"ALTER TABLE "&amp;エンティティ一覧!$O$2&amp;"."&amp;D$8&amp;" OWNER TO pgmisgrp1;"</f>
        <v>ALTER TABLE milscm_2023_010.azn_202310_backup_merge_mml_sm_in_patient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milscm_2023_010.azn_202310_backup_merge_mml_sm_in_patient</v>
      </c>
      <c r="O11" s="78"/>
      <c r="P11" s="78"/>
      <c r="Q11" s="78"/>
      <c r="R11" s="78"/>
      <c r="S11" s="78"/>
      <c r="T11" s="78"/>
      <c r="AJ11" s="78" t="str">
        <f>"ADD CONSTRAINT "&amp;D$8&amp;"_pkey PRIMARY KEY"</f>
        <v>ADD CONSTRAINT azn_202310_backup_merge_mml_sm_in_patient_pkey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milscm_2023_010.azn_202310_backup_merge_mml_sm_in_patient IS 'バックアップ_臨床サマリーモジュール_入院レコード';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milscm_2023_010.azn_202310_backup_merge_mml_sm_in_patient.torikomi_ym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1327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milscm_2023_010.azn_202310_backup_merge_mml_sm_in_patient.mil_karute_id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milscm_2023_010.azn_202310_backup_merge_mml_sm_in_patient.facility_id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milscm_2023_010.azn_202310_backup_merge_mml_sm_in_patient.shinryo_ymd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milscm_2023_010.azn_202310_backup_merge_mml_sm_in_patient.data_type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milscm_2023_010.azn_202310_backup_merge_mml_sm_in_patient.master_id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milscm_2023_010.azn_202310_backup_merge_mml_sm_in_patient.uid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milscm_2023_010.azn_202310_backup_merge_mml_sm_in_patient.summary_seq IS '臨床サマリーSEQ';</v>
      </c>
    </row>
    <row r="21" spans="1:52" s="25" customFormat="1">
      <c r="A21" s="4"/>
      <c r="B21" s="21">
        <f t="shared" si="2"/>
        <v>9</v>
      </c>
      <c r="C21" s="13" t="s">
        <v>1539</v>
      </c>
      <c r="D21" s="13" t="s">
        <v>1540</v>
      </c>
      <c r="E21" s="7" t="s">
        <v>127</v>
      </c>
      <c r="F21" s="7" t="s">
        <v>205</v>
      </c>
      <c r="G21" s="7" t="str">
        <f t="shared" si="3"/>
        <v>integer</v>
      </c>
      <c r="H21" s="58"/>
      <c r="I21" s="23" t="s">
        <v>127</v>
      </c>
      <c r="J21" s="24" t="s">
        <v>1554</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milscm_2023_010.azn_202310_backup_merge_mml_sm_in_patient.nyuin_seq IS '個々の入院歴SEQ';</v>
      </c>
    </row>
    <row r="22" spans="1:52" s="25" customFormat="1" ht="37.5">
      <c r="A22" s="4"/>
      <c r="B22" s="21">
        <f t="shared" si="2"/>
        <v>10</v>
      </c>
      <c r="C22" s="13" t="s">
        <v>1541</v>
      </c>
      <c r="D22" s="13" t="s">
        <v>156</v>
      </c>
      <c r="E22" s="7"/>
      <c r="F22" s="7" t="s">
        <v>868</v>
      </c>
      <c r="G22" s="7" t="str">
        <f t="shared" si="3"/>
        <v>text</v>
      </c>
      <c r="H22" s="58"/>
      <c r="I22" s="23"/>
      <c r="J22" s="24" t="s">
        <v>1555</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milscm_2023_010.azn_202310_backup_merge_mml_sm_in_patient.nyuin_ymd IS '入院（転入）日';</v>
      </c>
    </row>
    <row r="23" spans="1:52" s="25" customFormat="1" ht="37.5">
      <c r="A23" s="4"/>
      <c r="B23" s="21">
        <f t="shared" si="2"/>
        <v>11</v>
      </c>
      <c r="C23" s="13" t="s">
        <v>1542</v>
      </c>
      <c r="D23" s="13" t="s">
        <v>1543</v>
      </c>
      <c r="E23" s="7"/>
      <c r="F23" s="7" t="s">
        <v>868</v>
      </c>
      <c r="G23" s="7" t="str">
        <f t="shared" si="3"/>
        <v>text</v>
      </c>
      <c r="H23" s="58"/>
      <c r="I23" s="23"/>
      <c r="J23" s="24" t="s">
        <v>1556</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milscm_2023_010.azn_202310_backup_merge_mml_sm_in_patient.nyuin_state IS '入院時状態';</v>
      </c>
    </row>
    <row r="24" spans="1:52" s="25" customFormat="1" ht="56.25">
      <c r="A24" s="4"/>
      <c r="B24" s="21">
        <f t="shared" si="2"/>
        <v>12</v>
      </c>
      <c r="C24" s="13" t="s">
        <v>1544</v>
      </c>
      <c r="D24" s="13" t="s">
        <v>1545</v>
      </c>
      <c r="E24" s="7"/>
      <c r="F24" s="7" t="s">
        <v>868</v>
      </c>
      <c r="G24" s="7" t="str">
        <f t="shared" si="3"/>
        <v>text</v>
      </c>
      <c r="H24" s="58"/>
      <c r="I24" s="23"/>
      <c r="J24" s="24" t="s">
        <v>1557</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milscm_2023_010.azn_202310_backup_merge_mml_sm_in_patient.emergency_nyuin_flag IS '緊急入院フラグ';</v>
      </c>
    </row>
    <row r="25" spans="1:52" s="25" customFormat="1" ht="93.75">
      <c r="A25" s="4"/>
      <c r="B25" s="21">
        <f t="shared" si="2"/>
        <v>13</v>
      </c>
      <c r="C25" s="13" t="s">
        <v>1546</v>
      </c>
      <c r="D25" s="13" t="s">
        <v>1547</v>
      </c>
      <c r="E25" s="7"/>
      <c r="F25" s="7" t="s">
        <v>868</v>
      </c>
      <c r="G25" s="7" t="str">
        <f t="shared" si="3"/>
        <v>text</v>
      </c>
      <c r="H25" s="58"/>
      <c r="I25" s="23"/>
      <c r="J25" s="24" t="s">
        <v>1562</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milscm_2023_010.azn_202310_backup_merge_mml_sm_in_patient.shokai_moto_facility IS '紹介元施設';</v>
      </c>
    </row>
    <row r="26" spans="1:52" s="25" customFormat="1" ht="37.5">
      <c r="A26" s="4"/>
      <c r="B26" s="21">
        <f t="shared" si="2"/>
        <v>14</v>
      </c>
      <c r="C26" s="13" t="s">
        <v>1548</v>
      </c>
      <c r="D26" s="13" t="s">
        <v>213</v>
      </c>
      <c r="E26" s="7"/>
      <c r="F26" s="7" t="s">
        <v>868</v>
      </c>
      <c r="G26" s="7" t="str">
        <f t="shared" si="3"/>
        <v>text</v>
      </c>
      <c r="H26" s="58"/>
      <c r="I26" s="23"/>
      <c r="J26" s="24" t="s">
        <v>1558</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milscm_2023_010.azn_202310_backup_merge_mml_sm_in_patient.taiin_ymd IS '退院（転出）日';</v>
      </c>
    </row>
    <row r="27" spans="1:52" s="25" customFormat="1" ht="37.5">
      <c r="A27" s="4"/>
      <c r="B27" s="21">
        <f t="shared" si="2"/>
        <v>15</v>
      </c>
      <c r="C27" s="13" t="s">
        <v>1549</v>
      </c>
      <c r="D27" s="13" t="s">
        <v>1550</v>
      </c>
      <c r="E27" s="7"/>
      <c r="F27" s="7" t="s">
        <v>868</v>
      </c>
      <c r="G27" s="7" t="str">
        <f t="shared" si="3"/>
        <v>text</v>
      </c>
      <c r="H27" s="58"/>
      <c r="I27" s="23"/>
      <c r="J27" s="24" t="s">
        <v>1559</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milscm_2023_010.azn_202310_backup_merge_mml_sm_in_patient.taiin_state IS '退院時状態';</v>
      </c>
    </row>
    <row r="28" spans="1:52" s="25" customFormat="1" ht="56.25">
      <c r="A28" s="4"/>
      <c r="B28" s="21">
        <f t="shared" si="2"/>
        <v>16</v>
      </c>
      <c r="C28" s="13" t="s">
        <v>596</v>
      </c>
      <c r="D28" s="13" t="s">
        <v>1551</v>
      </c>
      <c r="E28" s="7"/>
      <c r="F28" s="7" t="s">
        <v>868</v>
      </c>
      <c r="G28" s="7" t="str">
        <f t="shared" si="3"/>
        <v>text</v>
      </c>
      <c r="H28" s="58"/>
      <c r="I28" s="23"/>
      <c r="J28" s="24" t="s">
        <v>1560</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milscm_2023_010.azn_202310_backup_merge_mml_sm_in_patient.taiin_tenki IS '退院時転帰';</v>
      </c>
    </row>
    <row r="29" spans="1:52" s="25" customFormat="1" ht="94.5" thickBot="1">
      <c r="A29" s="4"/>
      <c r="B29" s="27">
        <f>ROW()-12</f>
        <v>17</v>
      </c>
      <c r="C29" s="57" t="s">
        <v>1552</v>
      </c>
      <c r="D29" s="57" t="s">
        <v>1553</v>
      </c>
      <c r="E29" s="56"/>
      <c r="F29" s="56" t="s">
        <v>868</v>
      </c>
      <c r="G29" s="56" t="str">
        <f t="shared" si="3"/>
        <v>text</v>
      </c>
      <c r="H29" s="59"/>
      <c r="I29" s="60"/>
      <c r="J29" s="64" t="s">
        <v>1561</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900-000000000000}"/>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ENT_01_C4-29</v>
      </c>
      <c r="E6" s="239"/>
      <c r="F6" s="239"/>
      <c r="G6" s="239"/>
      <c r="H6" s="239"/>
      <c r="I6" s="239"/>
      <c r="J6" s="240"/>
    </row>
    <row r="7" spans="1:45">
      <c r="B7" s="228" t="s">
        <v>115</v>
      </c>
      <c r="C7" s="229"/>
      <c r="D7" s="230" t="s">
        <v>1564</v>
      </c>
      <c r="E7" s="231"/>
      <c r="F7" s="231"/>
      <c r="G7" s="231"/>
      <c r="H7" s="231"/>
      <c r="I7" s="231"/>
      <c r="J7" s="232"/>
    </row>
    <row r="8" spans="1:45">
      <c r="B8" s="228" t="s">
        <v>116</v>
      </c>
      <c r="C8" s="229"/>
      <c r="D8" s="230" t="str">
        <f>エンティティ一覧!AE2&amp;"_"&amp;D5&amp;"_merge_mml_sm_clinical_course"</f>
        <v>azn_202310_backup_merge_mml_sm_clinical_course</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milscm_2023_010.azn_202310_backup_merge_mml_sm_clinical_course;</v>
      </c>
      <c r="O10" s="78"/>
      <c r="P10" s="78"/>
      <c r="Q10" s="78"/>
      <c r="R10" s="78"/>
      <c r="S10" s="78"/>
      <c r="T10" s="78"/>
      <c r="AJ10" s="78" t="str">
        <f>"ALTER TABLE ONLY "&amp;エンティティ一覧!$O$2&amp;"."&amp;D$8</f>
        <v>ALTER TABLE ONLY milscm_2023_010.azn_202310_backup_merge_mml_sm_clinical_course</v>
      </c>
      <c r="AS10" s="78" t="str">
        <f>"ALTER TABLE "&amp;エンティティ一覧!$O$2&amp;"."&amp;D$8&amp;" OWNER TO pgmisgrp1;"</f>
        <v>ALTER TABLE milscm_2023_010.azn_202310_backup_merge_mml_sm_clinical_course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milscm_2023_010.azn_202310_backup_merge_mml_sm_clinical_course</v>
      </c>
      <c r="O11" s="78"/>
      <c r="P11" s="78"/>
      <c r="Q11" s="78"/>
      <c r="R11" s="78"/>
      <c r="S11" s="78"/>
      <c r="T11" s="78"/>
      <c r="AJ11" s="78" t="str">
        <f>"ADD CONSTRAINT "&amp;D$8&amp;"_pkey PRIMARY KEY"</f>
        <v>ADD CONSTRAINT azn_202310_backup_merge_mml_sm_clinical_course_pkey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milscm_2023_010.azn_202310_backup_merge_mml_sm_clinical_course IS 'バックアップ_臨床サマリーモジュール_経過記録レコード';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milscm_2023_010.azn_202310_backup_merge_mml_sm_clinical_course.torikomi_ym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milscm_2023_010.azn_202310_backup_merge_mml_sm_clinical_course.mil_karute_id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milscm_2023_010.azn_202310_backup_merge_mml_sm_clinical_course.facility_id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milscm_2023_010.azn_202310_backup_merge_mml_sm_clinical_course.shinryo_ymd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milscm_2023_010.azn_202310_backup_merge_mml_sm_clinical_course.data_type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milscm_2023_010.azn_202310_backup_merge_mml_sm_clinical_course.master_id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milscm_2023_010.azn_202310_backup_merge_mml_sm_clinical_course.uid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milscm_2023_010.azn_202310_backup_merge_mml_sm_clinical_course.summary_seq IS '臨床サマリーSEQ';</v>
      </c>
    </row>
    <row r="21" spans="1:52" s="25" customFormat="1">
      <c r="A21" s="4"/>
      <c r="B21" s="21">
        <f t="shared" si="2"/>
        <v>9</v>
      </c>
      <c r="C21" s="13" t="s">
        <v>1389</v>
      </c>
      <c r="D21" s="13" t="s">
        <v>1390</v>
      </c>
      <c r="E21" s="7" t="s">
        <v>127</v>
      </c>
      <c r="F21" s="7" t="s">
        <v>205</v>
      </c>
      <c r="G21" s="7" t="str">
        <f t="shared" si="3"/>
        <v>integer</v>
      </c>
      <c r="H21" s="58"/>
      <c r="I21" s="23" t="s">
        <v>127</v>
      </c>
      <c r="J21" s="24" t="s">
        <v>1573</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milscm_2023_010.azn_202310_backup_merge_mml_sm_clinical_course.keika_seq IS '経過記録SEQ';</v>
      </c>
    </row>
    <row r="22" spans="1:52" s="25" customFormat="1" ht="37.5">
      <c r="A22" s="4"/>
      <c r="B22" s="21">
        <f t="shared" si="2"/>
        <v>10</v>
      </c>
      <c r="C22" s="13" t="s">
        <v>1565</v>
      </c>
      <c r="D22" s="13" t="s">
        <v>1566</v>
      </c>
      <c r="E22" s="7"/>
      <c r="F22" s="7" t="s">
        <v>868</v>
      </c>
      <c r="G22" s="7" t="str">
        <f t="shared" si="3"/>
        <v>text</v>
      </c>
      <c r="H22" s="58"/>
      <c r="I22" s="23"/>
      <c r="J22" s="24" t="s">
        <v>1574</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milscm_2023_010.azn_202310_backup_merge_mml_sm_clinical_course.keika_kiroku IS '経過記録';</v>
      </c>
    </row>
    <row r="23" spans="1:52" s="25" customFormat="1" ht="37.5">
      <c r="A23" s="4"/>
      <c r="B23" s="21">
        <f t="shared" si="2"/>
        <v>11</v>
      </c>
      <c r="C23" s="13" t="s">
        <v>1567</v>
      </c>
      <c r="D23" s="13" t="s">
        <v>1568</v>
      </c>
      <c r="E23" s="7"/>
      <c r="F23" s="7" t="s">
        <v>868</v>
      </c>
      <c r="G23" s="7" t="str">
        <f t="shared" si="3"/>
        <v>text</v>
      </c>
      <c r="H23" s="58"/>
      <c r="I23" s="23"/>
      <c r="J23" s="24" t="s">
        <v>1575</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milscm_2023_010.azn_202310_backup_merge_mml_sm_clinical_course.event_date IS 'イベント発生日時';</v>
      </c>
    </row>
    <row r="24" spans="1:52" s="25" customFormat="1" ht="37.5">
      <c r="A24" s="4"/>
      <c r="B24" s="21">
        <f t="shared" si="2"/>
        <v>12</v>
      </c>
      <c r="C24" s="13" t="s">
        <v>1569</v>
      </c>
      <c r="D24" s="13" t="s">
        <v>1570</v>
      </c>
      <c r="E24" s="7"/>
      <c r="F24" s="7" t="s">
        <v>868</v>
      </c>
      <c r="G24" s="7" t="str">
        <f t="shared" si="3"/>
        <v>text</v>
      </c>
      <c r="H24" s="58"/>
      <c r="I24" s="23"/>
      <c r="J24" s="24" t="s">
        <v>1576</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milscm_2023_010.azn_202310_backup_merge_mml_sm_clinical_course.kanren_doc_uid IS '関連文書のuid';</v>
      </c>
    </row>
    <row r="25" spans="1:52" s="25" customFormat="1" ht="75.75" thickBot="1">
      <c r="A25" s="4"/>
      <c r="B25" s="27">
        <f>ROW()-12</f>
        <v>13</v>
      </c>
      <c r="C25" s="57" t="s">
        <v>1571</v>
      </c>
      <c r="D25" s="57" t="s">
        <v>1572</v>
      </c>
      <c r="E25" s="56"/>
      <c r="F25" s="56" t="s">
        <v>868</v>
      </c>
      <c r="G25" s="56" t="str">
        <f t="shared" si="3"/>
        <v>text</v>
      </c>
      <c r="H25" s="59"/>
      <c r="I25" s="60"/>
      <c r="J25" s="64" t="s">
        <v>1577</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A00-000000000000}"/>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ENT_01_C4-30</v>
      </c>
      <c r="E6" s="239"/>
      <c r="F6" s="239"/>
      <c r="G6" s="239"/>
      <c r="H6" s="239"/>
      <c r="I6" s="239"/>
      <c r="J6" s="240"/>
    </row>
    <row r="7" spans="1:45">
      <c r="B7" s="228" t="s">
        <v>115</v>
      </c>
      <c r="C7" s="229"/>
      <c r="D7" s="230" t="s">
        <v>1579</v>
      </c>
      <c r="E7" s="231"/>
      <c r="F7" s="231"/>
      <c r="G7" s="231"/>
      <c r="H7" s="231"/>
      <c r="I7" s="231"/>
      <c r="J7" s="232"/>
    </row>
    <row r="8" spans="1:45">
      <c r="B8" s="228" t="s">
        <v>116</v>
      </c>
      <c r="C8" s="229"/>
      <c r="D8" s="230" t="str">
        <f>エンティティ一覧!AE2&amp;"_"&amp;D5&amp;"_merge_mml_sm_test_results"</f>
        <v>azn_202310_backup_merge_mml_sm_test_results</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milscm_2023_010.azn_202310_backup_merge_mml_sm_test_results;</v>
      </c>
      <c r="O10" s="78"/>
      <c r="P10" s="78"/>
      <c r="Q10" s="78"/>
      <c r="R10" s="78"/>
      <c r="S10" s="78"/>
      <c r="T10" s="78"/>
      <c r="AJ10" s="78" t="str">
        <f>"ALTER TABLE ONLY "&amp;エンティティ一覧!$O$2&amp;"."&amp;D$8</f>
        <v>ALTER TABLE ONLY milscm_2023_010.azn_202310_backup_merge_mml_sm_test_results</v>
      </c>
      <c r="AS10" s="78" t="str">
        <f>"ALTER TABLE "&amp;エンティティ一覧!$O$2&amp;"."&amp;D$8&amp;" OWNER TO pgmisgrp1;"</f>
        <v>ALTER TABLE milscm_2023_010.azn_202310_backup_merge_mml_sm_test_results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milscm_2023_010.azn_202310_backup_merge_mml_sm_test_results</v>
      </c>
      <c r="O11" s="78"/>
      <c r="P11" s="78"/>
      <c r="Q11" s="78"/>
      <c r="R11" s="78"/>
      <c r="S11" s="78"/>
      <c r="T11" s="78"/>
      <c r="AJ11" s="78" t="str">
        <f>"ADD CONSTRAINT "&amp;D$8&amp;"_pkey PRIMARY KEY"</f>
        <v>ADD CONSTRAINT azn_202310_backup_merge_mml_sm_test_results_pkey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milscm_2023_010.azn_202310_backup_merge_mml_sm_test_results IS 'バックアップ_臨床サマリーモジュール_検査結果レコード';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milscm_2023_010.azn_202310_backup_merge_mml_sm_test_results.torikomi_ym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milscm_2023_010.azn_202310_backup_merge_mml_sm_test_results.mil_karute_id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milscm_2023_010.azn_202310_backup_merge_mml_sm_test_results.facility_id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milscm_2023_010.azn_202310_backup_merge_mml_sm_test_results.shinryo_ymd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milscm_2023_010.azn_202310_backup_merge_mml_sm_test_results.data_type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milscm_2023_010.azn_202310_backup_merge_mml_sm_test_results.master_id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milscm_2023_010.azn_202310_backup_merge_mml_sm_test_results.uid IS '文書ユニークID';</v>
      </c>
    </row>
    <row r="20" spans="1:52" s="25" customFormat="1">
      <c r="A20" s="4"/>
      <c r="B20" s="21">
        <f t="shared" si="2"/>
        <v>8</v>
      </c>
      <c r="C20" s="13" t="s">
        <v>1580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milscm_2023_010.azn_202310_backup_merge_mml_sm_test_results.summary_seq IS '臨床サマリーSEQ';</v>
      </c>
    </row>
    <row r="21" spans="1:52" s="25" customFormat="1">
      <c r="A21" s="4"/>
      <c r="B21" s="21">
        <f t="shared" si="2"/>
        <v>9</v>
      </c>
      <c r="C21" s="13" t="s">
        <v>1581</v>
      </c>
      <c r="D21" s="13" t="s">
        <v>1582</v>
      </c>
      <c r="E21" s="7" t="s">
        <v>127</v>
      </c>
      <c r="F21" s="7" t="s">
        <v>205</v>
      </c>
      <c r="G21" s="7" t="str">
        <f t="shared" si="3"/>
        <v>integer</v>
      </c>
      <c r="H21" s="58"/>
      <c r="I21" s="23" t="s">
        <v>127</v>
      </c>
      <c r="J21" s="24" t="s">
        <v>1585</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milscm_2023_010.azn_202310_backup_merge_mml_sm_test_results.kensa_seq IS '個々の検査結果SEQ';</v>
      </c>
    </row>
    <row r="22" spans="1:52" s="25" customFormat="1" ht="37.5">
      <c r="A22" s="4"/>
      <c r="B22" s="21">
        <f t="shared" si="2"/>
        <v>10</v>
      </c>
      <c r="C22" s="13" t="s">
        <v>1583</v>
      </c>
      <c r="D22" s="13" t="s">
        <v>1584</v>
      </c>
      <c r="E22" s="7"/>
      <c r="F22" s="7" t="s">
        <v>868</v>
      </c>
      <c r="G22" s="7" t="str">
        <f t="shared" si="3"/>
        <v>text</v>
      </c>
      <c r="H22" s="58"/>
      <c r="I22" s="23"/>
      <c r="J22" s="24" t="s">
        <v>1586</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milscm_2023_010.azn_202310_backup_merge_mml_sm_test_results.kensa_result_value IS '個々の検査結果';</v>
      </c>
    </row>
    <row r="23" spans="1:52" s="25" customFormat="1" ht="38.25" thickBot="1">
      <c r="A23" s="4"/>
      <c r="B23" s="27">
        <f>ROW()-12</f>
        <v>11</v>
      </c>
      <c r="C23" s="57" t="s">
        <v>1567</v>
      </c>
      <c r="D23" s="57" t="s">
        <v>1568</v>
      </c>
      <c r="E23" s="56"/>
      <c r="F23" s="56" t="s">
        <v>868</v>
      </c>
      <c r="G23" s="56" t="str">
        <f t="shared" si="3"/>
        <v>text</v>
      </c>
      <c r="H23" s="59"/>
      <c r="I23" s="60"/>
      <c r="J23" s="64" t="s">
        <v>1587</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8B00-000000000000}"/>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ENT_01_C4-31</v>
      </c>
      <c r="E6" s="239"/>
      <c r="F6" s="239"/>
      <c r="G6" s="239"/>
      <c r="H6" s="239"/>
      <c r="I6" s="239"/>
      <c r="J6" s="240"/>
    </row>
    <row r="7" spans="1:45">
      <c r="B7" s="228" t="s">
        <v>115</v>
      </c>
      <c r="C7" s="229"/>
      <c r="D7" s="230" t="s">
        <v>1588</v>
      </c>
      <c r="E7" s="231"/>
      <c r="F7" s="231"/>
      <c r="G7" s="231"/>
      <c r="H7" s="231"/>
      <c r="I7" s="231"/>
      <c r="J7" s="232"/>
    </row>
    <row r="8" spans="1:45">
      <c r="B8" s="228" t="s">
        <v>116</v>
      </c>
      <c r="C8" s="229"/>
      <c r="D8" s="230" t="str">
        <f>エンティティ一覧!AE2&amp;"_"&amp;D5&amp;"_merge_mml_lb_test"</f>
        <v>azn_202310_backup_merge_mml_lb_test</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milscm_2023_010.azn_202310_backup_merge_mml_lb_test;</v>
      </c>
      <c r="O10" s="78"/>
      <c r="P10" s="78"/>
      <c r="Q10" s="78"/>
      <c r="R10" s="78"/>
      <c r="S10" s="78"/>
      <c r="T10" s="78"/>
      <c r="AJ10" s="78" t="str">
        <f>"ALTER TABLE ONLY "&amp;エンティティ一覧!$O$2&amp;"."&amp;D$8</f>
        <v>ALTER TABLE ONLY milscm_2023_010.azn_202310_backup_merge_mml_lb_test</v>
      </c>
      <c r="AS10" s="78" t="str">
        <f>"ALTER TABLE "&amp;エンティティ一覧!$O$2&amp;"."&amp;D$8&amp;" OWNER TO pgmisgrp1;"</f>
        <v>ALTER TABLE milscm_2023_010.azn_202310_backup_merge_mml_lb_test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milscm_2023_010.azn_202310_backup_merge_mml_lb_test</v>
      </c>
      <c r="O11" s="78"/>
      <c r="P11" s="78"/>
      <c r="Q11" s="78"/>
      <c r="R11" s="78"/>
      <c r="S11" s="78"/>
      <c r="T11" s="78"/>
      <c r="AJ11" s="78" t="str">
        <f>"ADD CONSTRAINT "&amp;D$8&amp;"_pkey PRIMARY KEY"</f>
        <v>ADD CONSTRAINT azn_202310_backup_merge_mml_lb_test_pkey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milscm_2023_010.azn_202310_backup_merge_mml_lb_test IS 'バックアップ_検歴情報モジュール_検歴情報';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milscm_2023_010.azn_202310_backup_merge_mml_lb_test.torikomi_ym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258</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milscm_2023_010.azn_202310_backup_merge_mml_lb_test.mil_karute_id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milscm_2023_010.azn_202310_backup_merge_mml_lb_test.facility_id IS '施設ID';</v>
      </c>
    </row>
    <row r="16" spans="1:45" s="25" customFormat="1" ht="75">
      <c r="A16" s="4"/>
      <c r="B16" s="21">
        <f t="shared" si="2"/>
        <v>4</v>
      </c>
      <c r="C16" s="13" t="s">
        <v>1287</v>
      </c>
      <c r="D16" s="13" t="s">
        <v>1288</v>
      </c>
      <c r="E16" s="7"/>
      <c r="F16" s="7" t="s">
        <v>868</v>
      </c>
      <c r="G16" s="7" t="str">
        <f t="shared" ref="G16:G20" si="7">IF(F16="フラグ","boolean",IF(F16="文字列","text",IF(F16="整数","integer",IF(F16="実数","numeric",""))))</f>
        <v>text</v>
      </c>
      <c r="H16" s="58"/>
      <c r="I16" s="23" t="s">
        <v>127</v>
      </c>
      <c r="J16" s="24" t="s">
        <v>1356</v>
      </c>
      <c r="M16" s="4"/>
      <c r="N16" s="78"/>
      <c r="O16" s="78"/>
      <c r="P16" s="78" t="str">
        <f t="shared" ref="P16:P20" si="8">IF(B16&lt;&gt;1,","&amp;D16,D16)</f>
        <v>,shinryo_ymd</v>
      </c>
      <c r="Q16" s="78" t="str">
        <f t="shared" ref="Q16:Q20" si="9">UPPER(G16)</f>
        <v>TEXT</v>
      </c>
      <c r="R16" s="78" t="str">
        <f t="shared" ref="R16:R20" si="10">IF(H16&lt;&gt;"","default "&amp;IF(G16="text","'"&amp;H16&amp;"'",H16),"")</f>
        <v/>
      </c>
      <c r="S16" s="78" t="str">
        <f t="shared" ref="S16:S20" si="11">IF(I16="○","NOT NULL","")</f>
        <v>NOT NULL</v>
      </c>
      <c r="T16" s="78" t="str">
        <f t="shared" ref="T16:T20" si="12">"-- "&amp;C16</f>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milscm_2023_010.azn_202310_backup_merge_mml_lb_test.shinryo_ymd IS '診療年月日';</v>
      </c>
    </row>
    <row r="17" spans="1:45" s="25" customFormat="1">
      <c r="A17" s="4"/>
      <c r="B17" s="21">
        <f t="shared" si="2"/>
        <v>5</v>
      </c>
      <c r="C17" s="13" t="s">
        <v>1345</v>
      </c>
      <c r="D17" s="13" t="s">
        <v>209</v>
      </c>
      <c r="E17" s="7"/>
      <c r="F17" s="7" t="s">
        <v>868</v>
      </c>
      <c r="G17" s="7" t="str">
        <f t="shared" si="7"/>
        <v>text</v>
      </c>
      <c r="H17" s="58" t="s">
        <v>1330</v>
      </c>
      <c r="I17" s="23" t="s">
        <v>127</v>
      </c>
      <c r="J17" s="24" t="s">
        <v>1331</v>
      </c>
      <c r="M17" s="4"/>
      <c r="N17" s="78"/>
      <c r="O17" s="78"/>
      <c r="P17" s="78" t="str">
        <f t="shared" si="8"/>
        <v>,data_type</v>
      </c>
      <c r="Q17" s="78" t="str">
        <f t="shared" si="9"/>
        <v>TEXT</v>
      </c>
      <c r="R17" s="78" t="str">
        <f t="shared" si="10"/>
        <v>default 'MML'</v>
      </c>
      <c r="S17" s="78" t="str">
        <f t="shared" si="11"/>
        <v>NOT NULL</v>
      </c>
      <c r="T17" s="78" t="str">
        <f t="shared" si="12"/>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milscm_2023_010.azn_202310_backup_merge_mml_lb_test.data_type IS 'データ種別';</v>
      </c>
    </row>
    <row r="18" spans="1:45" s="25" customFormat="1" ht="37.5">
      <c r="A18" s="4"/>
      <c r="B18" s="21">
        <f t="shared" si="2"/>
        <v>6</v>
      </c>
      <c r="C18" s="13" t="s">
        <v>1290</v>
      </c>
      <c r="D18" s="13" t="s">
        <v>1291</v>
      </c>
      <c r="E18" s="7" t="s">
        <v>127</v>
      </c>
      <c r="F18" s="7" t="s">
        <v>868</v>
      </c>
      <c r="G18" s="7" t="str">
        <f t="shared" si="7"/>
        <v>text</v>
      </c>
      <c r="H18" s="58"/>
      <c r="I18" s="23" t="s">
        <v>127</v>
      </c>
      <c r="J18" s="24" t="s">
        <v>1332</v>
      </c>
      <c r="M18" s="4"/>
      <c r="N18" s="78"/>
      <c r="O18" s="78"/>
      <c r="P18" s="78" t="str">
        <f t="shared" si="8"/>
        <v>,master_id</v>
      </c>
      <c r="Q18" s="78" t="str">
        <f t="shared" si="9"/>
        <v>TEXT</v>
      </c>
      <c r="R18" s="78" t="str">
        <f t="shared" si="10"/>
        <v/>
      </c>
      <c r="S18" s="78" t="str">
        <f t="shared" si="11"/>
        <v>NOT NULL</v>
      </c>
      <c r="T18" s="78" t="str">
        <f t="shared" si="12"/>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milscm_2023_010.azn_202310_backup_merge_mml_lb_test.master_id IS '患者ID';</v>
      </c>
    </row>
    <row r="19" spans="1:45" s="25" customFormat="1" ht="37.5">
      <c r="A19" s="4"/>
      <c r="B19" s="21">
        <f t="shared" si="2"/>
        <v>7</v>
      </c>
      <c r="C19" s="13" t="s">
        <v>1292</v>
      </c>
      <c r="D19" s="13" t="s">
        <v>1293</v>
      </c>
      <c r="E19" s="7" t="s">
        <v>127</v>
      </c>
      <c r="F19" s="7" t="s">
        <v>868</v>
      </c>
      <c r="G19" s="7" t="str">
        <f t="shared" si="7"/>
        <v>text</v>
      </c>
      <c r="H19" s="58"/>
      <c r="I19" s="23" t="s">
        <v>127</v>
      </c>
      <c r="J19" s="24" t="s">
        <v>1333</v>
      </c>
      <c r="M19" s="4"/>
      <c r="N19" s="78"/>
      <c r="O19" s="78"/>
      <c r="P19" s="78" t="str">
        <f t="shared" si="8"/>
        <v>,uid</v>
      </c>
      <c r="Q19" s="78" t="str">
        <f t="shared" si="9"/>
        <v>TEXT</v>
      </c>
      <c r="R19" s="78" t="str">
        <f t="shared" si="10"/>
        <v/>
      </c>
      <c r="S19" s="78" t="str">
        <f t="shared" si="11"/>
        <v>NOT NULL</v>
      </c>
      <c r="T19" s="78" t="str">
        <f t="shared" si="12"/>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milscm_2023_010.azn_202310_backup_merge_mml_lb_test.uid IS '文書ユニークID';</v>
      </c>
    </row>
    <row r="20" spans="1:45" s="25" customFormat="1">
      <c r="A20" s="4"/>
      <c r="B20" s="21">
        <f t="shared" si="2"/>
        <v>8</v>
      </c>
      <c r="C20" s="13" t="s">
        <v>1589</v>
      </c>
      <c r="D20" s="13" t="s">
        <v>1590</v>
      </c>
      <c r="E20" s="7" t="s">
        <v>127</v>
      </c>
      <c r="F20" s="7" t="s">
        <v>205</v>
      </c>
      <c r="G20" s="7" t="str">
        <f t="shared" si="7"/>
        <v>integer</v>
      </c>
      <c r="H20" s="58"/>
      <c r="I20" s="23" t="s">
        <v>127</v>
      </c>
      <c r="J20" s="24" t="s">
        <v>1627</v>
      </c>
      <c r="M20" s="4"/>
      <c r="N20" s="78"/>
      <c r="O20" s="78"/>
      <c r="P20" s="78" t="str">
        <f t="shared" si="8"/>
        <v>,kenreki_seq</v>
      </c>
      <c r="Q20" s="78" t="str">
        <f t="shared" si="9"/>
        <v>INTEGER</v>
      </c>
      <c r="R20" s="78" t="str">
        <f t="shared" si="10"/>
        <v/>
      </c>
      <c r="S20" s="78" t="str">
        <f t="shared" si="11"/>
        <v>NOT NULL</v>
      </c>
      <c r="T20" s="78" t="str">
        <f t="shared" si="12"/>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milscm_2023_010.azn_202310_backup_merge_mml_lb_test.kenreki_seq IS '検歴SEQ';</v>
      </c>
    </row>
    <row r="21" spans="1:45" s="25" customFormat="1">
      <c r="A21" s="4"/>
      <c r="B21" s="21">
        <f t="shared" si="2"/>
        <v>9</v>
      </c>
      <c r="C21" s="13" t="s">
        <v>1591</v>
      </c>
      <c r="D21" s="13" t="s">
        <v>1592</v>
      </c>
      <c r="E21" s="7"/>
      <c r="F21" s="7" t="s">
        <v>868</v>
      </c>
      <c r="G21" s="7" t="str">
        <f t="shared" si="3"/>
        <v>text</v>
      </c>
      <c r="H21" s="58"/>
      <c r="I21" s="23"/>
      <c r="J21" s="24" t="s">
        <v>1628</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milscm_2023_010.azn_202310_backup_merge_mml_lb_test.irai_id IS '依頼ID';</v>
      </c>
    </row>
    <row r="22" spans="1:45" s="25" customFormat="1" ht="37.5">
      <c r="A22" s="4"/>
      <c r="B22" s="21">
        <f t="shared" si="2"/>
        <v>10</v>
      </c>
      <c r="C22" s="13" t="s">
        <v>1593</v>
      </c>
      <c r="D22" s="13" t="s">
        <v>1594</v>
      </c>
      <c r="E22" s="7"/>
      <c r="F22" s="7" t="s">
        <v>868</v>
      </c>
      <c r="G22" s="7" t="str">
        <f t="shared" si="3"/>
        <v>text</v>
      </c>
      <c r="H22" s="58"/>
      <c r="I22" s="23"/>
      <c r="J22" s="24" t="s">
        <v>1629</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milscm_2023_010.azn_202310_backup_merge_mml_lb_test.sample_time IS '採取日時';</v>
      </c>
    </row>
    <row r="23" spans="1:45" s="25" customFormat="1" ht="37.5">
      <c r="A23" s="4"/>
      <c r="B23" s="21">
        <f t="shared" si="2"/>
        <v>11</v>
      </c>
      <c r="C23" s="13" t="s">
        <v>1595</v>
      </c>
      <c r="D23" s="13" t="s">
        <v>1596</v>
      </c>
      <c r="E23" s="7"/>
      <c r="F23" s="7" t="s">
        <v>868</v>
      </c>
      <c r="G23" s="7" t="str">
        <f t="shared" si="3"/>
        <v>text</v>
      </c>
      <c r="H23" s="58"/>
      <c r="I23" s="23"/>
      <c r="J23" s="24" t="s">
        <v>1630</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milscm_2023_010.azn_202310_backup_merge_mml_lb_test.uketsuke_time IS '受付日時';</v>
      </c>
    </row>
    <row r="24" spans="1:45" s="25" customFormat="1" ht="37.5">
      <c r="A24" s="4"/>
      <c r="B24" s="21">
        <f t="shared" si="2"/>
        <v>12</v>
      </c>
      <c r="C24" s="13" t="s">
        <v>1597</v>
      </c>
      <c r="D24" s="13" t="s">
        <v>1598</v>
      </c>
      <c r="E24" s="7"/>
      <c r="F24" s="7" t="s">
        <v>868</v>
      </c>
      <c r="G24" s="7" t="str">
        <f t="shared" si="3"/>
        <v>text</v>
      </c>
      <c r="H24" s="58"/>
      <c r="I24" s="23"/>
      <c r="J24" s="24" t="s">
        <v>1631</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milscm_2023_010.azn_202310_backup_merge_mml_lb_test.report_time IS '報告日時';</v>
      </c>
    </row>
    <row r="25" spans="1:45" s="25" customFormat="1">
      <c r="A25" s="4"/>
      <c r="B25" s="21">
        <f t="shared" si="2"/>
        <v>13</v>
      </c>
      <c r="C25" s="13" t="s">
        <v>1599</v>
      </c>
      <c r="D25" s="13" t="s">
        <v>1600</v>
      </c>
      <c r="E25" s="7"/>
      <c r="F25" s="7" t="s">
        <v>868</v>
      </c>
      <c r="G25" s="7" t="str">
        <f t="shared" si="3"/>
        <v>text</v>
      </c>
      <c r="H25" s="58"/>
      <c r="I25" s="23"/>
      <c r="J25" s="24" t="s">
        <v>1632</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milscm_2023_010.azn_202310_backup_merge_mml_lb_test.status IS '報告状態';</v>
      </c>
    </row>
    <row r="26" spans="1:45" s="25" customFormat="1" ht="56.25">
      <c r="A26" s="4"/>
      <c r="B26" s="21">
        <f t="shared" si="2"/>
        <v>14</v>
      </c>
      <c r="C26" s="13" t="s">
        <v>1601</v>
      </c>
      <c r="D26" s="13" t="s">
        <v>1602</v>
      </c>
      <c r="E26" s="7"/>
      <c r="F26" s="7" t="s">
        <v>868</v>
      </c>
      <c r="G26" s="7" t="str">
        <f t="shared" si="3"/>
        <v>text</v>
      </c>
      <c r="H26" s="58"/>
      <c r="I26" s="23"/>
      <c r="J26" s="24" t="s">
        <v>1633</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milscm_2023_010.azn_202310_backup_merge_mml_lb_test.status_code IS '報告状態コード';</v>
      </c>
    </row>
    <row r="27" spans="1:45" s="25" customFormat="1">
      <c r="A27" s="4"/>
      <c r="B27" s="21">
        <f t="shared" si="2"/>
        <v>15</v>
      </c>
      <c r="C27" s="13" t="s">
        <v>1603</v>
      </c>
      <c r="D27" s="13" t="s">
        <v>1604</v>
      </c>
      <c r="E27" s="7"/>
      <c r="F27" s="7" t="s">
        <v>868</v>
      </c>
      <c r="G27" s="7" t="str">
        <f t="shared" si="3"/>
        <v>text</v>
      </c>
      <c r="H27" s="58"/>
      <c r="I27" s="23"/>
      <c r="J27" s="24" t="s">
        <v>1634</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milscm_2023_010.azn_202310_backup_merge_mml_lb_test.set_name IS 'セット名';</v>
      </c>
    </row>
    <row r="28" spans="1:45" s="25" customFormat="1" ht="37.5">
      <c r="A28" s="4"/>
      <c r="B28" s="21">
        <f t="shared" si="2"/>
        <v>16</v>
      </c>
      <c r="C28" s="13" t="s">
        <v>1605</v>
      </c>
      <c r="D28" s="13" t="s">
        <v>1606</v>
      </c>
      <c r="E28" s="7"/>
      <c r="F28" s="7" t="s">
        <v>868</v>
      </c>
      <c r="G28" s="7" t="str">
        <f t="shared" si="3"/>
        <v>text</v>
      </c>
      <c r="H28" s="58"/>
      <c r="I28" s="23"/>
      <c r="J28" s="24" t="s">
        <v>1635</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milscm_2023_010.azn_202310_backup_merge_mml_lb_test.set_name_code IS 'セット名コード';</v>
      </c>
    </row>
    <row r="29" spans="1:45" s="25" customFormat="1" ht="37.5">
      <c r="A29" s="4"/>
      <c r="B29" s="21">
        <f t="shared" si="2"/>
        <v>17</v>
      </c>
      <c r="C29" s="13" t="s">
        <v>1607</v>
      </c>
      <c r="D29" s="13" t="s">
        <v>1608</v>
      </c>
      <c r="E29" s="7"/>
      <c r="F29" s="7" t="s">
        <v>868</v>
      </c>
      <c r="G29" s="7" t="str">
        <f t="shared" si="3"/>
        <v>text</v>
      </c>
      <c r="H29" s="58"/>
      <c r="I29" s="23"/>
      <c r="J29" s="24" t="s">
        <v>1636</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milscm_2023_010.azn_202310_backup_merge_mml_lb_test.set_name_code_id IS 'セット名コードID';</v>
      </c>
    </row>
    <row r="30" spans="1:45" s="25" customFormat="1">
      <c r="A30" s="4"/>
      <c r="B30" s="21">
        <f t="shared" si="2"/>
        <v>18</v>
      </c>
      <c r="C30" s="13" t="s">
        <v>1609</v>
      </c>
      <c r="D30" s="13" t="s">
        <v>1610</v>
      </c>
      <c r="E30" s="7"/>
      <c r="F30" s="7" t="s">
        <v>868</v>
      </c>
      <c r="G30" s="7" t="str">
        <f t="shared" si="3"/>
        <v>text</v>
      </c>
      <c r="H30" s="58"/>
      <c r="I30" s="23"/>
      <c r="J30" s="24" t="s">
        <v>1637</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milscm_2023_010.azn_202310_backup_merge_mml_lb_test.irai_facility IS '依頼施設';</v>
      </c>
    </row>
    <row r="31" spans="1:45" s="25" customFormat="1">
      <c r="A31" s="4"/>
      <c r="B31" s="21">
        <f t="shared" si="2"/>
        <v>19</v>
      </c>
      <c r="C31" s="13" t="s">
        <v>1611</v>
      </c>
      <c r="D31" s="13" t="s">
        <v>1612</v>
      </c>
      <c r="E31" s="7"/>
      <c r="F31" s="7" t="s">
        <v>868</v>
      </c>
      <c r="G31" s="7" t="str">
        <f t="shared" si="3"/>
        <v>text</v>
      </c>
      <c r="H31" s="58"/>
      <c r="I31" s="23"/>
      <c r="J31" s="24" t="s">
        <v>1638</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milscm_2023_010.azn_202310_backup_merge_mml_lb_test.irai_facility_code IS '依頼施設コード';</v>
      </c>
    </row>
    <row r="32" spans="1:45" s="25" customFormat="1" ht="37.5">
      <c r="A32" s="4"/>
      <c r="B32" s="21">
        <f t="shared" si="2"/>
        <v>20</v>
      </c>
      <c r="C32" s="13" t="s">
        <v>1613</v>
      </c>
      <c r="D32" s="13" t="s">
        <v>1614</v>
      </c>
      <c r="E32" s="7"/>
      <c r="F32" s="7" t="s">
        <v>868</v>
      </c>
      <c r="G32" s="7" t="str">
        <f t="shared" si="3"/>
        <v>text</v>
      </c>
      <c r="H32" s="58"/>
      <c r="I32" s="23"/>
      <c r="J32" s="24" t="s">
        <v>1639</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milscm_2023_010.azn_202310_backup_merge_mml_lb_test.irai_facility_code_id IS '依頼施設コードID';</v>
      </c>
    </row>
    <row r="33" spans="1:52" s="25" customFormat="1">
      <c r="A33" s="4"/>
      <c r="B33" s="21">
        <f t="shared" si="2"/>
        <v>21</v>
      </c>
      <c r="C33" s="13" t="s">
        <v>1615</v>
      </c>
      <c r="D33" s="13" t="s">
        <v>1616</v>
      </c>
      <c r="E33" s="7"/>
      <c r="F33" s="7" t="s">
        <v>868</v>
      </c>
      <c r="G33" s="7" t="str">
        <f t="shared" si="3"/>
        <v>text</v>
      </c>
      <c r="H33" s="58"/>
      <c r="I33" s="23"/>
      <c r="J33" s="24" t="s">
        <v>1640</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milscm_2023_010.azn_202310_backup_merge_mml_lb_test.irai_department IS '依頼診療科';</v>
      </c>
    </row>
    <row r="34" spans="1:52" s="25" customFormat="1" ht="37.5">
      <c r="A34" s="4"/>
      <c r="B34" s="21">
        <f t="shared" si="2"/>
        <v>22</v>
      </c>
      <c r="C34" s="13" t="s">
        <v>1617</v>
      </c>
      <c r="D34" s="13" t="s">
        <v>1618</v>
      </c>
      <c r="E34" s="7"/>
      <c r="F34" s="7" t="s">
        <v>868</v>
      </c>
      <c r="G34" s="7" t="str">
        <f t="shared" si="3"/>
        <v>text</v>
      </c>
      <c r="H34" s="58"/>
      <c r="I34" s="23"/>
      <c r="J34" s="24" t="s">
        <v>1641</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milscm_2023_010.azn_202310_backup_merge_mml_lb_test.irai_department_code IS '依頼診療科コード';</v>
      </c>
    </row>
    <row r="35" spans="1:52" s="25" customFormat="1">
      <c r="A35" s="4"/>
      <c r="B35" s="21">
        <f t="shared" si="2"/>
        <v>23</v>
      </c>
      <c r="C35" s="13" t="s">
        <v>1619</v>
      </c>
      <c r="D35" s="13" t="s">
        <v>1620</v>
      </c>
      <c r="E35" s="7"/>
      <c r="F35" s="7" t="s">
        <v>868</v>
      </c>
      <c r="G35" s="7" t="str">
        <f t="shared" si="3"/>
        <v>text</v>
      </c>
      <c r="H35" s="58"/>
      <c r="I35" s="23"/>
      <c r="J35" s="24" t="s">
        <v>1642</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milscm_2023_010.azn_202310_backup_merge_mml_lb_test.irai_ward IS '依頼病棟';</v>
      </c>
    </row>
    <row r="36" spans="1:52" s="25" customFormat="1" ht="37.5">
      <c r="A36" s="4"/>
      <c r="B36" s="21">
        <f t="shared" si="2"/>
        <v>24</v>
      </c>
      <c r="C36" s="13" t="s">
        <v>1621</v>
      </c>
      <c r="D36" s="13" t="s">
        <v>1622</v>
      </c>
      <c r="E36" s="7"/>
      <c r="F36" s="7" t="s">
        <v>868</v>
      </c>
      <c r="G36" s="7" t="str">
        <f t="shared" si="3"/>
        <v>text</v>
      </c>
      <c r="H36" s="58"/>
      <c r="I36" s="23"/>
      <c r="J36" s="24" t="s">
        <v>1643</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milscm_2023_010.azn_202310_backup_merge_mml_lb_test.irai_ward_code IS '依頼病棟コード';</v>
      </c>
    </row>
    <row r="37" spans="1:52" s="25" customFormat="1" ht="37.5">
      <c r="A37" s="4"/>
      <c r="B37" s="21">
        <f t="shared" si="2"/>
        <v>25</v>
      </c>
      <c r="C37" s="13" t="s">
        <v>1623</v>
      </c>
      <c r="D37" s="13" t="s">
        <v>1624</v>
      </c>
      <c r="E37" s="7"/>
      <c r="F37" s="7" t="s">
        <v>868</v>
      </c>
      <c r="G37" s="7" t="str">
        <f t="shared" si="3"/>
        <v>text</v>
      </c>
      <c r="H37" s="58"/>
      <c r="I37" s="23"/>
      <c r="J37" s="24" t="s">
        <v>1644</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milscm_2023_010.azn_202310_backup_merge_mml_lb_test.irai_ward_code_id IS '依頼病棟コードID';</v>
      </c>
    </row>
    <row r="38" spans="1:52" s="25" customFormat="1" ht="19.5" thickBot="1">
      <c r="A38" s="4"/>
      <c r="B38" s="27">
        <f>ROW()-12</f>
        <v>26</v>
      </c>
      <c r="C38" s="57" t="s">
        <v>1625</v>
      </c>
      <c r="D38" s="57" t="s">
        <v>1626</v>
      </c>
      <c r="E38" s="56"/>
      <c r="F38" s="56" t="s">
        <v>868</v>
      </c>
      <c r="G38" s="56" t="str">
        <f t="shared" si="3"/>
        <v>text</v>
      </c>
      <c r="H38" s="59"/>
      <c r="I38" s="60"/>
      <c r="J38" s="64" t="s">
        <v>1645</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C00-000000000000}"/>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ENT_01_C4-33</v>
      </c>
      <c r="E6" s="239"/>
      <c r="F6" s="239"/>
      <c r="G6" s="239"/>
      <c r="H6" s="239"/>
      <c r="I6" s="239"/>
      <c r="J6" s="240"/>
    </row>
    <row r="7" spans="1:45">
      <c r="B7" s="228" t="s">
        <v>115</v>
      </c>
      <c r="C7" s="229"/>
      <c r="D7" s="230" t="s">
        <v>1646</v>
      </c>
      <c r="E7" s="231"/>
      <c r="F7" s="231"/>
      <c r="G7" s="231"/>
      <c r="H7" s="231"/>
      <c r="I7" s="231"/>
      <c r="J7" s="232"/>
    </row>
    <row r="8" spans="1:45">
      <c r="B8" s="228" t="s">
        <v>116</v>
      </c>
      <c r="C8" s="229"/>
      <c r="D8" s="230" t="str">
        <f>エンティティ一覧!AE2&amp;"_"&amp;D5&amp;"_merge_mml_lb_specimen"</f>
        <v>azn_202310_backup_merge_mml_lb_specimen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milscm_2023_010.azn_202310_backup_merge_mml_lb_specimen;</v>
      </c>
      <c r="O10" s="78"/>
      <c r="P10" s="78"/>
      <c r="Q10" s="78"/>
      <c r="R10" s="78"/>
      <c r="S10" s="78"/>
      <c r="T10" s="78"/>
      <c r="AJ10" s="78" t="str">
        <f>"ALTER TABLE ONLY "&amp;エンティティ一覧!$O$2&amp;"."&amp;D$8</f>
        <v>ALTER TABLE ONLY milscm_2023_010.azn_202310_backup_merge_mml_lb_specimen</v>
      </c>
      <c r="AS10" s="78" t="str">
        <f>"ALTER TABLE "&amp;エンティティ一覧!$O$2&amp;"."&amp;D$8&amp;" OWNER TO pgmisgrp1;"</f>
        <v>ALTER TABLE milscm_2023_010.azn_202310_backup_merge_mml_lb_specimen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milscm_2023_010.azn_202310_backup_merge_mml_lb_specimen</v>
      </c>
      <c r="O11" s="78"/>
      <c r="P11" s="78"/>
      <c r="Q11" s="78"/>
      <c r="R11" s="78"/>
      <c r="S11" s="78"/>
      <c r="T11" s="78"/>
      <c r="AJ11" s="78" t="str">
        <f>"ADD CONSTRAINT "&amp;D$8&amp;"_pkey PRIMARY KEY"</f>
        <v>ADD CONSTRAINT azn_202310_backup_merge_mml_lb_specimen_pkey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milscm_2023_010.azn_202310_backup_merge_mml_lb_specimen IS 'バックアップ_検歴情報モジュール_検歴検体材料';</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milscm_2023_010.azn_202310_backup_merge_mml_lb_specimen.torikomi_ym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milscm_2023_010.azn_202310_backup_merge_mml_lb_specimen.mil_karute_id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milscm_2023_010.azn_202310_backup_merge_mml_lb_specimen.facility_id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milscm_2023_010.azn_202310_backup_merge_mml_lb_specimen.shinryo_ymd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milscm_2023_010.azn_202310_backup_merge_mml_lb_specimen.data_type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milscm_2023_010.azn_202310_backup_merge_mml_lb_specimen.master_id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milscm_2023_010.azn_202310_backup_merge_mml_lb_specimen.uid IS '文書ユニークID';</v>
      </c>
    </row>
    <row r="20" spans="1:52"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milscm_2023_010.azn_202310_backup_merge_mml_lb_specimen.kenreki_seq IS '検歴SEQ';</v>
      </c>
    </row>
    <row r="21" spans="1:52" s="25" customFormat="1">
      <c r="A21" s="4"/>
      <c r="B21" s="21">
        <f t="shared" si="2"/>
        <v>9</v>
      </c>
      <c r="C21" s="13" t="s">
        <v>1647</v>
      </c>
      <c r="D21" s="13" t="s">
        <v>1648</v>
      </c>
      <c r="E21" s="7" t="s">
        <v>127</v>
      </c>
      <c r="F21" s="7" t="s">
        <v>205</v>
      </c>
      <c r="G21" s="7" t="str">
        <f t="shared" si="3"/>
        <v>integer</v>
      </c>
      <c r="H21" s="58"/>
      <c r="I21" s="23" t="s">
        <v>127</v>
      </c>
      <c r="J21" s="24" t="s">
        <v>1659</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milscm_2023_010.azn_202310_backup_merge_mml_lb_specimen.labo_test_seq IS '検体結果情報SEQ';</v>
      </c>
    </row>
    <row r="22" spans="1:52" s="25" customFormat="1" ht="75">
      <c r="A22" s="4"/>
      <c r="B22" s="21">
        <f t="shared" si="2"/>
        <v>10</v>
      </c>
      <c r="C22" s="13" t="s">
        <v>1649</v>
      </c>
      <c r="D22" s="13" t="s">
        <v>1650</v>
      </c>
      <c r="E22" s="7" t="s">
        <v>127</v>
      </c>
      <c r="F22" s="7" t="s">
        <v>205</v>
      </c>
      <c r="G22" s="7" t="str">
        <f t="shared" si="3"/>
        <v>integer</v>
      </c>
      <c r="H22" s="58">
        <v>1</v>
      </c>
      <c r="I22" s="23" t="s">
        <v>127</v>
      </c>
      <c r="J22" s="24" t="s">
        <v>1660</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milscm_2023_010.azn_202310_backup_merge_mml_lb_specimen.specimen_seq IS '検体材料SEQ';</v>
      </c>
    </row>
    <row r="23" spans="1:52" s="25" customFormat="1">
      <c r="A23" s="4"/>
      <c r="B23" s="21">
        <f t="shared" si="2"/>
        <v>11</v>
      </c>
      <c r="C23" s="13" t="s">
        <v>1651</v>
      </c>
      <c r="D23" s="13" t="s">
        <v>1652</v>
      </c>
      <c r="E23" s="7"/>
      <c r="F23" s="7" t="s">
        <v>868</v>
      </c>
      <c r="G23" s="7" t="str">
        <f t="shared" si="3"/>
        <v>text</v>
      </c>
      <c r="H23" s="58"/>
      <c r="I23" s="23"/>
      <c r="J23" s="24" t="s">
        <v>1661</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milscm_2023_010.azn_202310_backup_merge_mml_lb_specimen.specimen_name IS '検体材料';</v>
      </c>
    </row>
    <row r="24" spans="1:52" s="25" customFormat="1" ht="37.5">
      <c r="A24" s="4"/>
      <c r="B24" s="21">
        <f t="shared" si="2"/>
        <v>12</v>
      </c>
      <c r="C24" s="13" t="s">
        <v>1653</v>
      </c>
      <c r="D24" s="13" t="s">
        <v>1654</v>
      </c>
      <c r="E24" s="7"/>
      <c r="F24" s="7" t="s">
        <v>868</v>
      </c>
      <c r="G24" s="7" t="str">
        <f t="shared" si="3"/>
        <v>text</v>
      </c>
      <c r="H24" s="58"/>
      <c r="I24" s="23"/>
      <c r="J24" s="24" t="s">
        <v>1662</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milscm_2023_010.azn_202310_backup_merge_mml_lb_specimen.sp_code IS '検体材料コード';</v>
      </c>
    </row>
    <row r="25" spans="1:52" s="25" customFormat="1" ht="37.5">
      <c r="A25" s="4"/>
      <c r="B25" s="21">
        <f t="shared" si="2"/>
        <v>13</v>
      </c>
      <c r="C25" s="13" t="s">
        <v>1655</v>
      </c>
      <c r="D25" s="13" t="s">
        <v>1656</v>
      </c>
      <c r="E25" s="7"/>
      <c r="F25" s="7" t="s">
        <v>868</v>
      </c>
      <c r="G25" s="7" t="str">
        <f t="shared" si="3"/>
        <v>text</v>
      </c>
      <c r="H25" s="58"/>
      <c r="I25" s="23"/>
      <c r="J25" s="24" t="s">
        <v>1663</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milscm_2023_010.azn_202310_backup_merge_mml_lb_specimen.sp_code_id IS '検体材料コードのテーブル名';</v>
      </c>
    </row>
    <row r="26" spans="1:52" s="25" customFormat="1" ht="19.5" thickBot="1">
      <c r="A26" s="4"/>
      <c r="B26" s="27">
        <f>ROW()-12</f>
        <v>14</v>
      </c>
      <c r="C26" s="57" t="s">
        <v>1657</v>
      </c>
      <c r="D26" s="57" t="s">
        <v>1658</v>
      </c>
      <c r="E26" s="56"/>
      <c r="F26" s="56" t="s">
        <v>868</v>
      </c>
      <c r="G26" s="56" t="str">
        <f t="shared" si="3"/>
        <v>text</v>
      </c>
      <c r="H26" s="59"/>
      <c r="I26" s="60"/>
      <c r="J26" s="64" t="s">
        <v>1664</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D00-000000000000}"/>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ENT_01_C4-35</v>
      </c>
      <c r="E6" s="239"/>
      <c r="F6" s="239"/>
      <c r="G6" s="239"/>
      <c r="H6" s="239"/>
      <c r="I6" s="239"/>
      <c r="J6" s="240"/>
    </row>
    <row r="7" spans="1:45">
      <c r="B7" s="228" t="s">
        <v>115</v>
      </c>
      <c r="C7" s="229"/>
      <c r="D7" s="230" t="s">
        <v>1665</v>
      </c>
      <c r="E7" s="231"/>
      <c r="F7" s="231"/>
      <c r="G7" s="231"/>
      <c r="H7" s="231"/>
      <c r="I7" s="231"/>
      <c r="J7" s="232"/>
    </row>
    <row r="8" spans="1:45">
      <c r="B8" s="228" t="s">
        <v>116</v>
      </c>
      <c r="C8" s="229"/>
      <c r="D8" s="230" t="str">
        <f>エンティティ一覧!AE2&amp;"_"&amp;D5&amp;"_merge_mml_lb_item"</f>
        <v>azn_202310_backup_merge_mml_lb_item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milscm_2023_010.azn_202310_backup_merge_mml_lb_item;</v>
      </c>
      <c r="O10" s="78"/>
      <c r="P10" s="78"/>
      <c r="Q10" s="78"/>
      <c r="R10" s="78"/>
      <c r="S10" s="78"/>
      <c r="T10" s="78"/>
      <c r="AJ10" s="78" t="str">
        <f>"ALTER TABLE ONLY "&amp;エンティティ一覧!$O$2&amp;"."&amp;D$8</f>
        <v>ALTER TABLE ONLY milscm_2023_010.azn_202310_backup_merge_mml_lb_item</v>
      </c>
      <c r="AS10" s="78" t="str">
        <f>"ALTER TABLE "&amp;エンティティ一覧!$O$2&amp;"."&amp;D$8&amp;" OWNER TO pgmisgrp1;"</f>
        <v>ALTER TABLE milscm_2023_010.azn_202310_backup_merge_mml_lb_item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milscm_2023_010.azn_202310_backup_merge_mml_lb_item</v>
      </c>
      <c r="O11" s="78"/>
      <c r="P11" s="78"/>
      <c r="Q11" s="78"/>
      <c r="R11" s="78"/>
      <c r="S11" s="78"/>
      <c r="T11" s="78"/>
      <c r="AJ11" s="78" t="str">
        <f>"ADD CONSTRAINT "&amp;D$8&amp;"_pkey PRIMARY KEY"</f>
        <v>ADD CONSTRAINT azn_202310_backup_merge_mml_lb_item_pkey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milscm_2023_010.azn_202310_backup_merge_mml_lb_item IS 'バックアップ_検歴情報モジュール_検歴項目情報';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milscm_2023_010.azn_202310_backup_merge_mml_lb_item.torikomi_ym IS '取込年月';</v>
      </c>
    </row>
    <row r="14" spans="1:45" s="25" customFormat="1">
      <c r="A14" s="4"/>
      <c r="B14" s="21">
        <f t="shared" ref="B14:B39" si="2">ROW()-12</f>
        <v>2</v>
      </c>
      <c r="C14" s="6" t="s">
        <v>203</v>
      </c>
      <c r="D14" s="6" t="s">
        <v>204</v>
      </c>
      <c r="E14" s="8"/>
      <c r="F14" s="7" t="s">
        <v>205</v>
      </c>
      <c r="G14" s="7" t="str">
        <f t="shared" ref="G14:G40" si="3">IF(F14="フラグ","boolean",IF(F14="文字列","text",IF(F14="整数","integer",IF(F14="実数","numeric",""))))</f>
        <v>integer</v>
      </c>
      <c r="H14" s="26"/>
      <c r="I14" s="10"/>
      <c r="J14" s="11" t="s">
        <v>1327</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milscm_2023_010.azn_202310_backup_merge_mml_lb_item.mil_karute_id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milscm_2023_010.azn_202310_backup_merge_mml_lb_item.facility_id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milscm_2023_010.azn_202310_backup_merge_mml_lb_item.shinryo_ymd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milscm_2023_010.azn_202310_backup_merge_mml_lb_item.data_type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milscm_2023_010.azn_202310_backup_merge_mml_lb_item.master_id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milscm_2023_010.azn_202310_backup_merge_mml_lb_item.uid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milscm_2023_010.azn_202310_backup_merge_mml_lb_item.kenreki_seq IS '検歴SEQ';</v>
      </c>
    </row>
    <row r="21" spans="1:45" s="25" customFormat="1">
      <c r="A21" s="4"/>
      <c r="B21" s="21">
        <f t="shared" si="2"/>
        <v>9</v>
      </c>
      <c r="C21" s="13" t="s">
        <v>1647</v>
      </c>
      <c r="D21" s="13" t="s">
        <v>1648</v>
      </c>
      <c r="E21" s="7" t="s">
        <v>127</v>
      </c>
      <c r="F21" s="7" t="s">
        <v>205</v>
      </c>
      <c r="G21" s="7" t="str">
        <f t="shared" si="3"/>
        <v>integer</v>
      </c>
      <c r="H21" s="58"/>
      <c r="I21" s="23" t="s">
        <v>127</v>
      </c>
      <c r="J21" s="24" t="s">
        <v>1703</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milscm_2023_010.azn_202310_backup_merge_mml_lb_item.labo_test_seq IS '検体結果情報SEQ';</v>
      </c>
    </row>
    <row r="22" spans="1:45" s="25" customFormat="1">
      <c r="A22" s="4"/>
      <c r="B22" s="21">
        <f t="shared" si="2"/>
        <v>10</v>
      </c>
      <c r="C22" s="13" t="s">
        <v>1666</v>
      </c>
      <c r="D22" s="13" t="s">
        <v>1667</v>
      </c>
      <c r="E22" s="7" t="s">
        <v>127</v>
      </c>
      <c r="F22" s="7" t="s">
        <v>205</v>
      </c>
      <c r="G22" s="7" t="str">
        <f t="shared" si="3"/>
        <v>integer</v>
      </c>
      <c r="H22" s="58"/>
      <c r="I22" s="23" t="s">
        <v>127</v>
      </c>
      <c r="J22" s="24" t="s">
        <v>1704</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milscm_2023_010.azn_202310_backup_merge_mml_lb_item.item_info_seq IS '項目情報SEQ';</v>
      </c>
    </row>
    <row r="23" spans="1:45" s="25" customFormat="1">
      <c r="A23" s="4"/>
      <c r="B23" s="21">
        <f t="shared" si="2"/>
        <v>11</v>
      </c>
      <c r="C23" s="13" t="s">
        <v>1668</v>
      </c>
      <c r="D23" s="13" t="s">
        <v>1669</v>
      </c>
      <c r="E23" s="7"/>
      <c r="F23" s="7" t="s">
        <v>868</v>
      </c>
      <c r="G23" s="7" t="str">
        <f t="shared" si="3"/>
        <v>text</v>
      </c>
      <c r="H23" s="58"/>
      <c r="I23" s="23"/>
      <c r="J23" s="24" t="s">
        <v>1705</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milscm_2023_010.azn_202310_backup_merge_mml_lb_item.item_name IS '項目名';</v>
      </c>
    </row>
    <row r="24" spans="1:45" s="25" customFormat="1">
      <c r="A24" s="4"/>
      <c r="B24" s="21">
        <f t="shared" si="2"/>
        <v>12</v>
      </c>
      <c r="C24" s="13" t="s">
        <v>1670</v>
      </c>
      <c r="D24" s="13" t="s">
        <v>1671</v>
      </c>
      <c r="E24" s="7"/>
      <c r="F24" s="7" t="s">
        <v>868</v>
      </c>
      <c r="G24" s="7" t="str">
        <f t="shared" si="3"/>
        <v>text</v>
      </c>
      <c r="H24" s="58"/>
      <c r="I24" s="23"/>
      <c r="J24" s="24" t="s">
        <v>1706</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milscm_2023_010.azn_202310_backup_merge_mml_lb_item.facility_it_code IS '施設固有コード';</v>
      </c>
    </row>
    <row r="25" spans="1:45" s="25" customFormat="1">
      <c r="A25" s="4"/>
      <c r="B25" s="21">
        <f t="shared" si="2"/>
        <v>13</v>
      </c>
      <c r="C25" s="13" t="s">
        <v>1672</v>
      </c>
      <c r="D25" s="13" t="s">
        <v>1673</v>
      </c>
      <c r="E25" s="7"/>
      <c r="F25" s="7" t="s">
        <v>868</v>
      </c>
      <c r="G25" s="7" t="str">
        <f t="shared" si="3"/>
        <v>text</v>
      </c>
      <c r="H25" s="58"/>
      <c r="I25" s="23"/>
      <c r="J25" s="24" t="s">
        <v>1707</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milscm_2023_010.azn_202310_backup_merge_mml_lb_item.facility_it_code_id IS '施設固有コード体系名';</v>
      </c>
    </row>
    <row r="26" spans="1:45" s="25" customFormat="1">
      <c r="A26" s="4"/>
      <c r="B26" s="21">
        <f t="shared" si="2"/>
        <v>14</v>
      </c>
      <c r="C26" s="13" t="s">
        <v>1674</v>
      </c>
      <c r="D26" s="13" t="s">
        <v>1675</v>
      </c>
      <c r="E26" s="7"/>
      <c r="F26" s="7" t="s">
        <v>868</v>
      </c>
      <c r="G26" s="7" t="str">
        <f t="shared" si="3"/>
        <v>text</v>
      </c>
      <c r="H26" s="58"/>
      <c r="I26" s="23"/>
      <c r="J26" s="24" t="s">
        <v>1708</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milscm_2023_010.azn_202310_backup_merge_mml_lb_item.jlac10_a_code IS 'JLAC10の分析物コード';</v>
      </c>
    </row>
    <row r="27" spans="1:45" s="25" customFormat="1">
      <c r="A27" s="4"/>
      <c r="B27" s="21">
        <f t="shared" si="2"/>
        <v>15</v>
      </c>
      <c r="C27" s="13" t="s">
        <v>1676</v>
      </c>
      <c r="D27" s="13" t="s">
        <v>1677</v>
      </c>
      <c r="E27" s="7"/>
      <c r="F27" s="7" t="s">
        <v>868</v>
      </c>
      <c r="G27" s="7" t="str">
        <f t="shared" si="3"/>
        <v>text</v>
      </c>
      <c r="H27" s="58"/>
      <c r="I27" s="23"/>
      <c r="J27" s="24" t="s">
        <v>1709</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milscm_2023_010.azn_202310_backup_merge_mml_lb_item.jlac10_i_code IS 'JLAC10の識別コード';</v>
      </c>
    </row>
    <row r="28" spans="1:45" s="25" customFormat="1">
      <c r="A28" s="4"/>
      <c r="B28" s="21">
        <f t="shared" si="2"/>
        <v>16</v>
      </c>
      <c r="C28" s="13" t="s">
        <v>1678</v>
      </c>
      <c r="D28" s="13" t="s">
        <v>1679</v>
      </c>
      <c r="E28" s="7"/>
      <c r="F28" s="7" t="s">
        <v>868</v>
      </c>
      <c r="G28" s="7" t="str">
        <f t="shared" si="3"/>
        <v>text</v>
      </c>
      <c r="H28" s="58"/>
      <c r="I28" s="23"/>
      <c r="J28" s="24" t="s">
        <v>1710</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milscm_2023_010.azn_202310_backup_merge_mml_lb_item.jlac10_s_code IS 'JLAC10の材料コード';</v>
      </c>
    </row>
    <row r="29" spans="1:45" s="25" customFormat="1">
      <c r="A29" s="4"/>
      <c r="B29" s="21">
        <f t="shared" si="2"/>
        <v>17</v>
      </c>
      <c r="C29" s="13" t="s">
        <v>1680</v>
      </c>
      <c r="D29" s="13" t="s">
        <v>1681</v>
      </c>
      <c r="E29" s="7"/>
      <c r="F29" s="7" t="s">
        <v>868</v>
      </c>
      <c r="G29" s="7" t="str">
        <f t="shared" si="3"/>
        <v>text</v>
      </c>
      <c r="H29" s="58"/>
      <c r="I29" s="23"/>
      <c r="J29" s="24" t="s">
        <v>1711</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milscm_2023_010.azn_202310_backup_merge_mml_lb_item.jlac10_m_code IS 'JLAC10の測定法コード';</v>
      </c>
    </row>
    <row r="30" spans="1:45" s="25" customFormat="1">
      <c r="A30" s="4"/>
      <c r="B30" s="21">
        <f t="shared" si="2"/>
        <v>18</v>
      </c>
      <c r="C30" s="13" t="s">
        <v>1682</v>
      </c>
      <c r="D30" s="13" t="s">
        <v>1683</v>
      </c>
      <c r="E30" s="7"/>
      <c r="F30" s="7" t="s">
        <v>868</v>
      </c>
      <c r="G30" s="7" t="str">
        <f t="shared" si="3"/>
        <v>text</v>
      </c>
      <c r="H30" s="58"/>
      <c r="I30" s="23"/>
      <c r="J30" s="24" t="s">
        <v>1712</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milscm_2023_010.azn_202310_backup_merge_mml_lb_item.jlac10_r_code IS 'JLAC10の結果識別コード';</v>
      </c>
    </row>
    <row r="31" spans="1:45" s="25" customFormat="1">
      <c r="A31" s="4"/>
      <c r="B31" s="21">
        <f t="shared" si="2"/>
        <v>19</v>
      </c>
      <c r="C31" s="13" t="s">
        <v>1684</v>
      </c>
      <c r="D31" s="13" t="s">
        <v>1685</v>
      </c>
      <c r="E31" s="7"/>
      <c r="F31" s="7" t="s">
        <v>868</v>
      </c>
      <c r="G31" s="7" t="str">
        <f t="shared" si="3"/>
        <v>text</v>
      </c>
      <c r="H31" s="58"/>
      <c r="I31" s="23"/>
      <c r="J31" s="24" t="s">
        <v>1713</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milscm_2023_010.azn_202310_backup_merge_mml_lb_item.value IS '検査結果値';</v>
      </c>
    </row>
    <row r="32" spans="1:45" s="25" customFormat="1">
      <c r="A32" s="4"/>
      <c r="B32" s="21">
        <f t="shared" si="2"/>
        <v>20</v>
      </c>
      <c r="C32" s="13" t="s">
        <v>1686</v>
      </c>
      <c r="D32" s="13" t="s">
        <v>1687</v>
      </c>
      <c r="E32" s="7"/>
      <c r="F32" s="7" t="s">
        <v>868</v>
      </c>
      <c r="G32" s="7" t="str">
        <f t="shared" si="3"/>
        <v>text</v>
      </c>
      <c r="H32" s="58"/>
      <c r="I32" s="23"/>
      <c r="J32" s="24" t="s">
        <v>1714</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milscm_2023_010.azn_202310_backup_merge_mml_lb_item.num_value IS '数値結果';</v>
      </c>
    </row>
    <row r="33" spans="1:52" s="25" customFormat="1">
      <c r="A33" s="4"/>
      <c r="B33" s="21">
        <f t="shared" si="2"/>
        <v>21</v>
      </c>
      <c r="C33" s="13" t="s">
        <v>1688</v>
      </c>
      <c r="D33" s="13" t="s">
        <v>1689</v>
      </c>
      <c r="E33" s="7"/>
      <c r="F33" s="7" t="s">
        <v>868</v>
      </c>
      <c r="G33" s="7" t="str">
        <f t="shared" si="3"/>
        <v>text</v>
      </c>
      <c r="H33" s="58"/>
      <c r="I33" s="23"/>
      <c r="J33" s="24" t="s">
        <v>1715</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milscm_2023_010.azn_202310_backup_merge_mml_lb_item.up_value IS '上限値';</v>
      </c>
    </row>
    <row r="34" spans="1:52" s="25" customFormat="1">
      <c r="A34" s="4"/>
      <c r="B34" s="21">
        <f t="shared" si="2"/>
        <v>22</v>
      </c>
      <c r="C34" s="13" t="s">
        <v>1690</v>
      </c>
      <c r="D34" s="13" t="s">
        <v>1691</v>
      </c>
      <c r="E34" s="7"/>
      <c r="F34" s="7" t="s">
        <v>868</v>
      </c>
      <c r="G34" s="7" t="str">
        <f t="shared" si="3"/>
        <v>text</v>
      </c>
      <c r="H34" s="58"/>
      <c r="I34" s="23"/>
      <c r="J34" s="24" t="s">
        <v>1716</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milscm_2023_010.azn_202310_backup_merge_mml_lb_item.low_value IS '下限値';</v>
      </c>
    </row>
    <row r="35" spans="1:52" s="25" customFormat="1">
      <c r="A35" s="4"/>
      <c r="B35" s="21">
        <f t="shared" si="2"/>
        <v>23</v>
      </c>
      <c r="C35" s="13" t="s">
        <v>1692</v>
      </c>
      <c r="D35" s="13" t="s">
        <v>1693</v>
      </c>
      <c r="E35" s="7"/>
      <c r="F35" s="7" t="s">
        <v>868</v>
      </c>
      <c r="G35" s="7" t="str">
        <f t="shared" si="3"/>
        <v>text</v>
      </c>
      <c r="H35" s="58"/>
      <c r="I35" s="23"/>
      <c r="J35" s="24" t="s">
        <v>1717</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milscm_2023_010.azn_202310_backup_merge_mml_lb_item.normal_value IS '文字列で示す基準値';</v>
      </c>
    </row>
    <row r="36" spans="1:52" s="25" customFormat="1" ht="56.25">
      <c r="A36" s="4"/>
      <c r="B36" s="21">
        <f t="shared" si="2"/>
        <v>24</v>
      </c>
      <c r="C36" s="13" t="s">
        <v>1694</v>
      </c>
      <c r="D36" s="13" t="s">
        <v>1695</v>
      </c>
      <c r="E36" s="7"/>
      <c r="F36" s="7" t="s">
        <v>868</v>
      </c>
      <c r="G36" s="7" t="str">
        <f t="shared" ref="G36:G37" si="7">IF(F36="フラグ","boolean",IF(F36="文字列","text",IF(F36="整数","integer",IF(F36="実数","numeric",""))))</f>
        <v>text</v>
      </c>
      <c r="H36" s="58"/>
      <c r="I36" s="23"/>
      <c r="J36" s="24" t="s">
        <v>1718</v>
      </c>
      <c r="M36" s="4"/>
      <c r="N36" s="78"/>
      <c r="O36" s="78"/>
      <c r="P36" s="78" t="str">
        <f t="shared" ref="P36:P37" si="8">IF(B36&lt;&gt;1,","&amp;D36,D36)</f>
        <v>,out_flag</v>
      </c>
      <c r="Q36" s="78" t="str">
        <f t="shared" ref="Q36:Q37" si="9">UPPER(G36)</f>
        <v>TEXT</v>
      </c>
      <c r="R36" s="78" t="str">
        <f t="shared" ref="R36:R37" si="10">IF(H36&lt;&gt;"","default "&amp;IF(G36="text","'"&amp;H36&amp;"'",H36),"")</f>
        <v/>
      </c>
      <c r="S36" s="78" t="str">
        <f t="shared" ref="S36:S37" si="11">IF(I36="○","NOT NULL","")</f>
        <v/>
      </c>
      <c r="T36" s="78" t="str">
        <f t="shared" ref="T36:T37" si="12">"-- "&amp;C36</f>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milscm_2023_010.azn_202310_backup_merge_mml_lb_item.out_flag IS '異常値フラグ';</v>
      </c>
    </row>
    <row r="37" spans="1:52" s="25" customFormat="1">
      <c r="A37" s="4"/>
      <c r="B37" s="21">
        <f t="shared" si="2"/>
        <v>25</v>
      </c>
      <c r="C37" s="13" t="s">
        <v>1696</v>
      </c>
      <c r="D37" s="13" t="s">
        <v>277</v>
      </c>
      <c r="E37" s="7"/>
      <c r="F37" s="7" t="s">
        <v>868</v>
      </c>
      <c r="G37" s="7" t="str">
        <f t="shared" si="7"/>
        <v>text</v>
      </c>
      <c r="H37" s="58"/>
      <c r="I37" s="23"/>
      <c r="J37" s="24" t="s">
        <v>1719</v>
      </c>
      <c r="M37" s="4"/>
      <c r="N37" s="78"/>
      <c r="O37" s="78"/>
      <c r="P37" s="78" t="str">
        <f t="shared" si="8"/>
        <v>,unit</v>
      </c>
      <c r="Q37" s="78" t="str">
        <f t="shared" si="9"/>
        <v>TEXT</v>
      </c>
      <c r="R37" s="78" t="str">
        <f t="shared" si="10"/>
        <v/>
      </c>
      <c r="S37" s="78" t="str">
        <f t="shared" si="11"/>
        <v/>
      </c>
      <c r="T37" s="78" t="str">
        <f t="shared" si="12"/>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milscm_2023_010.azn_202310_backup_merge_mml_lb_item.unit IS '単位';</v>
      </c>
    </row>
    <row r="38" spans="1:52" s="25" customFormat="1" ht="37.5">
      <c r="A38" s="4"/>
      <c r="B38" s="21">
        <f t="shared" si="2"/>
        <v>26</v>
      </c>
      <c r="C38" s="13" t="s">
        <v>1697</v>
      </c>
      <c r="D38" s="13" t="s">
        <v>1698</v>
      </c>
      <c r="E38" s="7"/>
      <c r="F38" s="7" t="s">
        <v>868</v>
      </c>
      <c r="G38" s="7" t="str">
        <f t="shared" si="3"/>
        <v>text</v>
      </c>
      <c r="H38" s="58"/>
      <c r="I38" s="23"/>
      <c r="J38" s="24" t="s">
        <v>1720</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milscm_2023_010.azn_202310_backup_merge_mml_lb_item.unit_code IS '単位コード';</v>
      </c>
    </row>
    <row r="39" spans="1:52" s="25" customFormat="1" ht="37.5">
      <c r="A39" s="4"/>
      <c r="B39" s="21">
        <f t="shared" si="2"/>
        <v>27</v>
      </c>
      <c r="C39" s="13" t="s">
        <v>1699</v>
      </c>
      <c r="D39" s="13" t="s">
        <v>1700</v>
      </c>
      <c r="E39" s="7"/>
      <c r="F39" s="7" t="s">
        <v>868</v>
      </c>
      <c r="G39" s="7" t="str">
        <f t="shared" si="3"/>
        <v>text</v>
      </c>
      <c r="H39" s="58"/>
      <c r="I39" s="23"/>
      <c r="J39" s="24" t="s">
        <v>1721</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milscm_2023_010.azn_202310_backup_merge_mml_lb_item.unit_code_id IS '単位コードID';</v>
      </c>
    </row>
    <row r="40" spans="1:52" s="25" customFormat="1" ht="19.5" thickBot="1">
      <c r="A40" s="4"/>
      <c r="B40" s="27">
        <f>ROW()-12</f>
        <v>28</v>
      </c>
      <c r="C40" s="57" t="s">
        <v>1701</v>
      </c>
      <c r="D40" s="57" t="s">
        <v>1702</v>
      </c>
      <c r="E40" s="56"/>
      <c r="F40" s="56" t="s">
        <v>868</v>
      </c>
      <c r="G40" s="56" t="str">
        <f t="shared" si="3"/>
        <v>text</v>
      </c>
      <c r="H40" s="59"/>
      <c r="I40" s="60"/>
      <c r="J40" s="64" t="s">
        <v>1722</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milscm_2023_010.azn_202310_backup_merge_mml_lb_item.item_free_comment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E00-000000000000}"/>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ENT_01_C4-37</v>
      </c>
      <c r="E6" s="239"/>
      <c r="F6" s="239"/>
      <c r="G6" s="239"/>
      <c r="H6" s="239"/>
      <c r="I6" s="239"/>
      <c r="J6" s="240"/>
    </row>
    <row r="7" spans="1:45">
      <c r="B7" s="228" t="s">
        <v>115</v>
      </c>
      <c r="C7" s="229"/>
      <c r="D7" s="230" t="s">
        <v>1723</v>
      </c>
      <c r="E7" s="231"/>
      <c r="F7" s="231"/>
      <c r="G7" s="231"/>
      <c r="H7" s="231"/>
      <c r="I7" s="231"/>
      <c r="J7" s="232"/>
    </row>
    <row r="8" spans="1:45">
      <c r="B8" s="228" t="s">
        <v>116</v>
      </c>
      <c r="C8" s="229"/>
      <c r="D8" s="230" t="str">
        <f>エンティティ一覧!AE2&amp;"_"&amp;D5&amp;"_merge_mml_vs_vitalsign"</f>
        <v>azn_202310_backup_merge_mml_vs_vitalsign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milscm_2023_010.azn_202310_backup_merge_mml_vs_vitalsign;</v>
      </c>
      <c r="O10" s="78"/>
      <c r="P10" s="78"/>
      <c r="Q10" s="78"/>
      <c r="R10" s="78"/>
      <c r="S10" s="78"/>
      <c r="T10" s="78"/>
      <c r="AJ10" s="78" t="str">
        <f>"ALTER TABLE ONLY "&amp;エンティティ一覧!$O$2&amp;"."&amp;D$8</f>
        <v>ALTER TABLE ONLY milscm_2023_010.azn_202310_backup_merge_mml_vs_vitalsign</v>
      </c>
      <c r="AS10" s="78" t="str">
        <f>"ALTER TABLE "&amp;エンティティ一覧!$O$2&amp;"."&amp;D$8&amp;" OWNER TO pgmisgrp1;"</f>
        <v>ALTER TABLE milscm_2023_010.azn_202310_backup_merge_mml_vs_vitalsign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milscm_2023_010.azn_202310_backup_merge_mml_vs_vitalsign</v>
      </c>
      <c r="O11" s="78"/>
      <c r="P11" s="78"/>
      <c r="Q11" s="78"/>
      <c r="R11" s="78"/>
      <c r="S11" s="78"/>
      <c r="T11" s="78"/>
      <c r="AJ11" s="78" t="str">
        <f>"ADD CONSTRAINT "&amp;D$8&amp;"_pkey PRIMARY KEY"</f>
        <v>ADD CONSTRAINT azn_202310_backup_merge_mml_vs_vitalsign_pkey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milscm_2023_010.azn_202310_backup_merge_mml_vs_vitalsign IS 'バックアップ_バイタルサインモジュール_バイタルサイン';</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milscm_2023_010.azn_202310_backup_merge_mml_vs_vitalsign.torikomi_ym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milscm_2023_010.azn_202310_backup_merge_mml_vs_vitalsign.mil_karute_id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milscm_2023_010.azn_202310_backup_merge_mml_vs_vitalsign.facility_id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milscm_2023_010.azn_202310_backup_merge_mml_vs_vitalsign.shinryo_ymd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milscm_2023_010.azn_202310_backup_merge_mml_vs_vitalsign.data_type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milscm_2023_010.azn_202310_backup_merge_mml_vs_vitalsign.master_id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milscm_2023_010.azn_202310_backup_merge_mml_vs_vitalsign.uid IS '文書ユニークID';</v>
      </c>
    </row>
    <row r="20" spans="1:45" s="25" customFormat="1">
      <c r="A20" s="4"/>
      <c r="B20" s="21">
        <f t="shared" si="2"/>
        <v>8</v>
      </c>
      <c r="C20" s="13" t="s">
        <v>1724</v>
      </c>
      <c r="D20" s="13" t="s">
        <v>1725</v>
      </c>
      <c r="E20" s="7" t="s">
        <v>127</v>
      </c>
      <c r="F20" s="7" t="s">
        <v>205</v>
      </c>
      <c r="G20" s="7" t="str">
        <f t="shared" si="3"/>
        <v>integer</v>
      </c>
      <c r="H20" s="58"/>
      <c r="I20" s="23" t="s">
        <v>127</v>
      </c>
      <c r="J20" s="24" t="s">
        <v>1747</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milscm_2023_010.azn_202310_backup_merge_mml_vs_vitalsign.vital_seq IS 'バイタルSEQ';</v>
      </c>
    </row>
    <row r="21" spans="1:45" s="25" customFormat="1">
      <c r="A21" s="4"/>
      <c r="B21" s="21">
        <f t="shared" si="2"/>
        <v>9</v>
      </c>
      <c r="C21" s="13" t="s">
        <v>1726</v>
      </c>
      <c r="D21" s="13" t="s">
        <v>1727</v>
      </c>
      <c r="E21" s="7"/>
      <c r="F21" s="7" t="s">
        <v>868</v>
      </c>
      <c r="G21" s="7" t="str">
        <f t="shared" si="3"/>
        <v>text</v>
      </c>
      <c r="H21" s="58"/>
      <c r="I21" s="23"/>
      <c r="J21" s="24" t="s">
        <v>1748</v>
      </c>
      <c r="M21" s="4"/>
      <c r="N21" s="78"/>
      <c r="O21" s="78"/>
      <c r="P21" s="78" t="str">
        <f t="shared" si="4"/>
        <v>,department_name</v>
      </c>
      <c r="Q21" s="78" t="str">
        <f t="shared" si="0"/>
        <v>TEXT</v>
      </c>
      <c r="R21" s="78" t="str">
        <f t="shared" si="1"/>
        <v/>
      </c>
      <c r="S21" s="78" t="str">
        <f t="shared" si="5"/>
        <v/>
      </c>
      <c r="T21" s="78" t="str">
        <f t="shared" si="6"/>
        <v>-- 診療科名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milscm_2023_010.azn_202310_backup_merge_mml_vs_vitalsign.department_name IS '診療科名';</v>
      </c>
    </row>
    <row r="22" spans="1:45" s="25" customFormat="1" ht="37.5">
      <c r="A22" s="4"/>
      <c r="B22" s="21">
        <f t="shared" si="2"/>
        <v>10</v>
      </c>
      <c r="C22" s="13" t="s">
        <v>606</v>
      </c>
      <c r="D22" s="13" t="s">
        <v>1728</v>
      </c>
      <c r="E22" s="7"/>
      <c r="F22" s="7" t="s">
        <v>868</v>
      </c>
      <c r="G22" s="7" t="str">
        <f t="shared" si="3"/>
        <v>text</v>
      </c>
      <c r="H22" s="58"/>
      <c r="I22" s="23"/>
      <c r="J22" s="24" t="s">
        <v>1749</v>
      </c>
      <c r="M22" s="4"/>
      <c r="N22" s="78"/>
      <c r="O22" s="78"/>
      <c r="P22" s="78" t="str">
        <f t="shared" si="4"/>
        <v>,department_code</v>
      </c>
      <c r="Q22" s="78" t="str">
        <f t="shared" si="0"/>
        <v>TEXT</v>
      </c>
      <c r="R22" s="78" t="str">
        <f t="shared" si="1"/>
        <v/>
      </c>
      <c r="S22" s="78" t="str">
        <f t="shared" si="5"/>
        <v/>
      </c>
      <c r="T22" s="78" t="str">
        <f t="shared" si="6"/>
        <v>-- 診療科コード</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milscm_2023_010.azn_202310_backup_merge_mml_vs_vitalsign.department_code IS '診療科コード';</v>
      </c>
    </row>
    <row r="23" spans="1:45" s="25" customFormat="1">
      <c r="A23" s="4"/>
      <c r="B23" s="21">
        <f t="shared" si="2"/>
        <v>11</v>
      </c>
      <c r="C23" s="13" t="s">
        <v>1729</v>
      </c>
      <c r="D23" s="13" t="s">
        <v>1730</v>
      </c>
      <c r="E23" s="7"/>
      <c r="F23" s="7" t="s">
        <v>868</v>
      </c>
      <c r="G23" s="7" t="str">
        <f t="shared" si="3"/>
        <v>text</v>
      </c>
      <c r="H23" s="58"/>
      <c r="I23" s="23"/>
      <c r="J23" s="24" t="s">
        <v>1750</v>
      </c>
      <c r="M23" s="4"/>
      <c r="N23" s="78"/>
      <c r="O23" s="78"/>
      <c r="P23" s="78" t="str">
        <f t="shared" si="4"/>
        <v>,ward</v>
      </c>
      <c r="Q23" s="78" t="str">
        <f t="shared" si="0"/>
        <v>TEXT</v>
      </c>
      <c r="R23" s="78" t="str">
        <f t="shared" si="1"/>
        <v/>
      </c>
      <c r="S23" s="78" t="str">
        <f t="shared" si="5"/>
        <v/>
      </c>
      <c r="T23" s="78" t="str">
        <f t="shared" si="6"/>
        <v>-- 病棟</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milscm_2023_010.azn_202310_backup_merge_mml_vs_vitalsign.ward IS '病棟';</v>
      </c>
    </row>
    <row r="24" spans="1:45" s="25" customFormat="1" ht="37.5">
      <c r="A24" s="4"/>
      <c r="B24" s="21">
        <f t="shared" si="2"/>
        <v>12</v>
      </c>
      <c r="C24" s="13" t="s">
        <v>239</v>
      </c>
      <c r="D24" s="13" t="s">
        <v>240</v>
      </c>
      <c r="E24" s="7"/>
      <c r="F24" s="7" t="s">
        <v>868</v>
      </c>
      <c r="G24" s="7" t="str">
        <f t="shared" si="3"/>
        <v>text</v>
      </c>
      <c r="H24" s="58"/>
      <c r="I24" s="23"/>
      <c r="J24" s="24" t="s">
        <v>1751</v>
      </c>
      <c r="M24" s="4"/>
      <c r="N24" s="78"/>
      <c r="O24" s="78"/>
      <c r="P24" s="78" t="str">
        <f t="shared" si="4"/>
        <v>,ward_code</v>
      </c>
      <c r="Q24" s="78" t="str">
        <f t="shared" si="0"/>
        <v>TEXT</v>
      </c>
      <c r="R24" s="78" t="str">
        <f t="shared" si="1"/>
        <v/>
      </c>
      <c r="S24" s="78" t="str">
        <f t="shared" si="5"/>
        <v/>
      </c>
      <c r="T24" s="78" t="str">
        <f t="shared" si="6"/>
        <v>-- 病棟コード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milscm_2023_010.azn_202310_backup_merge_mml_vs_vitalsign.ward_code IS '病棟コード';</v>
      </c>
    </row>
    <row r="25" spans="1:45" s="25" customFormat="1" ht="37.5">
      <c r="A25" s="4"/>
      <c r="B25" s="21">
        <f t="shared" si="2"/>
        <v>13</v>
      </c>
      <c r="C25" s="13" t="s">
        <v>1731</v>
      </c>
      <c r="D25" s="13" t="s">
        <v>1732</v>
      </c>
      <c r="E25" s="7"/>
      <c r="F25" s="7" t="s">
        <v>868</v>
      </c>
      <c r="G25" s="7" t="str">
        <f t="shared" si="3"/>
        <v>text</v>
      </c>
      <c r="H25" s="58"/>
      <c r="I25" s="23"/>
      <c r="J25" s="24" t="s">
        <v>1752</v>
      </c>
      <c r="M25" s="4"/>
      <c r="N25" s="78"/>
      <c r="O25" s="78"/>
      <c r="P25" s="78" t="str">
        <f t="shared" si="4"/>
        <v>,ward_code_id</v>
      </c>
      <c r="Q25" s="78" t="str">
        <f t="shared" si="0"/>
        <v>TEXT</v>
      </c>
      <c r="R25" s="78" t="str">
        <f t="shared" si="1"/>
        <v/>
      </c>
      <c r="S25" s="78" t="str">
        <f t="shared" si="5"/>
        <v/>
      </c>
      <c r="T25" s="78" t="str">
        <f t="shared" si="6"/>
        <v>-- 病棟コードID</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milscm_2023_010.azn_202310_backup_merge_mml_vs_vitalsign.ward_code_id IS '病棟コードID';</v>
      </c>
    </row>
    <row r="26" spans="1:45" s="25" customFormat="1" ht="37.5">
      <c r="A26" s="4"/>
      <c r="B26" s="21">
        <f t="shared" si="2"/>
        <v>14</v>
      </c>
      <c r="C26" s="13" t="s">
        <v>1733</v>
      </c>
      <c r="D26" s="13" t="s">
        <v>1734</v>
      </c>
      <c r="E26" s="7"/>
      <c r="F26" s="7" t="s">
        <v>868</v>
      </c>
      <c r="G26" s="7" t="str">
        <f t="shared" si="3"/>
        <v>text</v>
      </c>
      <c r="H26" s="58"/>
      <c r="I26" s="23"/>
      <c r="J26" s="24" t="s">
        <v>1753</v>
      </c>
      <c r="M26" s="4"/>
      <c r="N26" s="78"/>
      <c r="O26" s="78"/>
      <c r="P26" s="78" t="str">
        <f t="shared" si="4"/>
        <v>,vital_sign_time</v>
      </c>
      <c r="Q26" s="78" t="str">
        <f t="shared" si="0"/>
        <v>TEXT</v>
      </c>
      <c r="R26" s="78" t="str">
        <f t="shared" si="1"/>
        <v/>
      </c>
      <c r="S26" s="78" t="str">
        <f t="shared" si="5"/>
        <v/>
      </c>
      <c r="T26" s="78" t="str">
        <f t="shared" si="6"/>
        <v>-- バイタルサインの計測時間</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milscm_2023_010.azn_202310_backup_merge_mml_vs_vitalsign.vital_sign_time IS 'バイタルサインの計測時間';</v>
      </c>
    </row>
    <row r="27" spans="1:45" s="25" customFormat="1">
      <c r="A27" s="4"/>
      <c r="B27" s="21">
        <f t="shared" si="2"/>
        <v>15</v>
      </c>
      <c r="C27" s="13" t="s">
        <v>1735</v>
      </c>
      <c r="D27" s="13" t="s">
        <v>1736</v>
      </c>
      <c r="E27" s="7"/>
      <c r="F27" s="7" t="s">
        <v>868</v>
      </c>
      <c r="G27" s="7" t="str">
        <f t="shared" si="3"/>
        <v>text</v>
      </c>
      <c r="H27" s="58"/>
      <c r="I27" s="23"/>
      <c r="J27" s="24" t="s">
        <v>1754</v>
      </c>
      <c r="M27" s="4"/>
      <c r="N27" s="78"/>
      <c r="O27" s="78"/>
      <c r="P27" s="78" t="str">
        <f t="shared" si="4"/>
        <v>,keisoku_tejun</v>
      </c>
      <c r="Q27" s="78" t="str">
        <f t="shared" si="0"/>
        <v>TEXT</v>
      </c>
      <c r="R27" s="78" t="str">
        <f t="shared" si="1"/>
        <v/>
      </c>
      <c r="S27" s="78" t="str">
        <f t="shared" si="5"/>
        <v/>
      </c>
      <c r="T27" s="78" t="str">
        <f t="shared" si="6"/>
        <v>-- 計測手順</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milscm_2023_010.azn_202310_backup_merge_mml_vs_vitalsign.keisoku_tejun IS '計測手順';</v>
      </c>
    </row>
    <row r="28" spans="1:45" s="25" customFormat="1">
      <c r="A28" s="4"/>
      <c r="B28" s="21">
        <f t="shared" si="2"/>
        <v>16</v>
      </c>
      <c r="C28" s="13" t="s">
        <v>1737</v>
      </c>
      <c r="D28" s="13" t="s">
        <v>1738</v>
      </c>
      <c r="E28" s="7"/>
      <c r="F28" s="7" t="s">
        <v>868</v>
      </c>
      <c r="G28" s="7" t="str">
        <f t="shared" si="3"/>
        <v>text</v>
      </c>
      <c r="H28" s="58"/>
      <c r="I28" s="23"/>
      <c r="J28" s="24" t="s">
        <v>1755</v>
      </c>
      <c r="M28" s="4"/>
      <c r="N28" s="78"/>
      <c r="O28" s="78"/>
      <c r="P28" s="78" t="str">
        <f t="shared" si="4"/>
        <v>,keisoku_device</v>
      </c>
      <c r="Q28" s="78" t="str">
        <f t="shared" si="0"/>
        <v>TEXT</v>
      </c>
      <c r="R28" s="78" t="str">
        <f t="shared" si="1"/>
        <v/>
      </c>
      <c r="S28" s="78" t="str">
        <f t="shared" si="5"/>
        <v/>
      </c>
      <c r="T28" s="78" t="str">
        <f t="shared" si="6"/>
        <v>-- 計測器具</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milscm_2023_010.azn_202310_backup_merge_mml_vs_vitalsign.keisoku_device IS '計測器具';</v>
      </c>
    </row>
    <row r="29" spans="1:45" s="25" customFormat="1">
      <c r="A29" s="4"/>
      <c r="B29" s="21">
        <f t="shared" si="2"/>
        <v>17</v>
      </c>
      <c r="C29" s="13" t="s">
        <v>1739</v>
      </c>
      <c r="D29" s="13" t="s">
        <v>1740</v>
      </c>
      <c r="E29" s="7"/>
      <c r="F29" s="7" t="s">
        <v>868</v>
      </c>
      <c r="G29" s="7" t="str">
        <f t="shared" si="3"/>
        <v>text</v>
      </c>
      <c r="H29" s="58"/>
      <c r="I29" s="23"/>
      <c r="J29" s="24" t="s">
        <v>1756</v>
      </c>
      <c r="M29" s="4"/>
      <c r="N29" s="78"/>
      <c r="O29" s="78"/>
      <c r="P29" s="78" t="str">
        <f t="shared" si="4"/>
        <v>,keisoku_bui</v>
      </c>
      <c r="Q29" s="78" t="str">
        <f t="shared" si="0"/>
        <v>TEXT</v>
      </c>
      <c r="R29" s="78" t="str">
        <f t="shared" si="1"/>
        <v/>
      </c>
      <c r="S29" s="78" t="str">
        <f t="shared" si="5"/>
        <v/>
      </c>
      <c r="T29" s="78" t="str">
        <f t="shared" si="6"/>
        <v>-- 計測部位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milscm_2023_010.azn_202310_backup_merge_mml_vs_vitalsign.keisoku_bui IS '計測部位';</v>
      </c>
    </row>
    <row r="30" spans="1:45" s="25" customFormat="1">
      <c r="A30" s="4"/>
      <c r="B30" s="21">
        <f t="shared" si="2"/>
        <v>18</v>
      </c>
      <c r="C30" s="13" t="s">
        <v>1741</v>
      </c>
      <c r="D30" s="13" t="s">
        <v>1742</v>
      </c>
      <c r="E30" s="7"/>
      <c r="F30" s="7" t="s">
        <v>868</v>
      </c>
      <c r="G30" s="7" t="str">
        <f t="shared" si="3"/>
        <v>text</v>
      </c>
      <c r="H30" s="58"/>
      <c r="I30" s="23"/>
      <c r="J30" s="24" t="s">
        <v>1757</v>
      </c>
      <c r="M30" s="4"/>
      <c r="N30" s="78"/>
      <c r="O30" s="78"/>
      <c r="P30" s="78" t="str">
        <f t="shared" si="4"/>
        <v>,keisoku_position</v>
      </c>
      <c r="Q30" s="78" t="str">
        <f t="shared" si="0"/>
        <v>TEXT</v>
      </c>
      <c r="R30" s="78" t="str">
        <f t="shared" si="1"/>
        <v/>
      </c>
      <c r="S30" s="78" t="str">
        <f t="shared" si="5"/>
        <v/>
      </c>
      <c r="T30" s="78" t="str">
        <f t="shared" si="6"/>
        <v>-- 計測時体位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milscm_2023_010.azn_202310_backup_merge_mml_vs_vitalsign.keisoku_position IS '計測時体位';</v>
      </c>
    </row>
    <row r="31" spans="1:45" s="25" customFormat="1" ht="31.5">
      <c r="A31" s="4"/>
      <c r="B31" s="21">
        <f t="shared" si="2"/>
        <v>19</v>
      </c>
      <c r="C31" s="13" t="s">
        <v>1743</v>
      </c>
      <c r="D31" s="13" t="s">
        <v>1744</v>
      </c>
      <c r="E31" s="7"/>
      <c r="F31" s="7" t="s">
        <v>868</v>
      </c>
      <c r="G31" s="7" t="str">
        <f t="shared" si="3"/>
        <v>text</v>
      </c>
      <c r="H31" s="58"/>
      <c r="I31" s="23"/>
      <c r="J31" s="24" t="s">
        <v>1758</v>
      </c>
      <c r="M31" s="4"/>
      <c r="N31" s="78"/>
      <c r="O31" s="78"/>
      <c r="P31" s="78" t="str">
        <f t="shared" si="4"/>
        <v>,keisoku_method_comment</v>
      </c>
      <c r="Q31" s="78" t="str">
        <f t="shared" si="0"/>
        <v>TEXT</v>
      </c>
      <c r="R31" s="78" t="str">
        <f t="shared" si="1"/>
        <v/>
      </c>
      <c r="S31" s="78" t="str">
        <f t="shared" si="5"/>
        <v/>
      </c>
      <c r="T31" s="78" t="str">
        <f t="shared" si="6"/>
        <v>-- 計測方法コメント</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milscm_2023_010.azn_202310_backup_merge_mml_vs_vitalsign.keisoku_method_comment IS '計測方法コメント';</v>
      </c>
    </row>
    <row r="32" spans="1:45" s="25" customFormat="1" ht="19.5" thickBot="1">
      <c r="A32" s="4"/>
      <c r="B32" s="27">
        <f>ROW()-12</f>
        <v>20</v>
      </c>
      <c r="C32" s="57" t="s">
        <v>1745</v>
      </c>
      <c r="D32" s="57" t="s">
        <v>1746</v>
      </c>
      <c r="E32" s="56"/>
      <c r="F32" s="56" t="s">
        <v>868</v>
      </c>
      <c r="G32" s="56" t="str">
        <f t="shared" si="3"/>
        <v>text</v>
      </c>
      <c r="H32" s="59"/>
      <c r="I32" s="60"/>
      <c r="J32" s="64" t="s">
        <v>1759</v>
      </c>
      <c r="N32" s="78"/>
      <c r="O32" s="78"/>
      <c r="P32" s="78" t="str">
        <f t="shared" si="4"/>
        <v>,kiroku_comment</v>
      </c>
      <c r="Q32" s="78" t="str">
        <f t="shared" si="0"/>
        <v>TEXT</v>
      </c>
      <c r="R32" s="78" t="str">
        <f t="shared" si="1"/>
        <v/>
      </c>
      <c r="S32" s="78" t="str">
        <f t="shared" si="5"/>
        <v/>
      </c>
      <c r="T32" s="78" t="str">
        <f t="shared" si="6"/>
        <v>-- 記録コメント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milscm_2023_010.azn_202310_backup_merge_mml_vs_vitalsign.kiroku_comment IS '記録コメント';</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8F00-000000000000}"/>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ENT_01_C4-38</v>
      </c>
      <c r="E6" s="239"/>
      <c r="F6" s="239"/>
      <c r="G6" s="239"/>
      <c r="H6" s="239"/>
      <c r="I6" s="239"/>
      <c r="J6" s="240"/>
    </row>
    <row r="7" spans="1:45">
      <c r="B7" s="228" t="s">
        <v>115</v>
      </c>
      <c r="C7" s="229"/>
      <c r="D7" s="230" t="s">
        <v>1760</v>
      </c>
      <c r="E7" s="231"/>
      <c r="F7" s="231"/>
      <c r="G7" s="231"/>
      <c r="H7" s="231"/>
      <c r="I7" s="231"/>
      <c r="J7" s="232"/>
    </row>
    <row r="8" spans="1:45">
      <c r="B8" s="228" t="s">
        <v>116</v>
      </c>
      <c r="C8" s="229"/>
      <c r="D8" s="230" t="str">
        <f>エンティティ一覧!AE2&amp;"_"&amp;D5&amp;"_merge_mml_vs_item"</f>
        <v>azn_202310_backup_merge_mml_vs_item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milscm_2023_010.azn_202310_backup_merge_mml_vs_item;</v>
      </c>
      <c r="O10" s="78"/>
      <c r="P10" s="78"/>
      <c r="Q10" s="78"/>
      <c r="R10" s="78"/>
      <c r="S10" s="78"/>
      <c r="T10" s="78"/>
      <c r="AJ10" s="78" t="str">
        <f>"ALTER TABLE ONLY "&amp;エンティティ一覧!$O$2&amp;"."&amp;D$8</f>
        <v>ALTER TABLE ONLY milscm_2023_010.azn_202310_backup_merge_mml_vs_item</v>
      </c>
      <c r="AS10" s="78" t="str">
        <f>"ALTER TABLE "&amp;エンティティ一覧!$O$2&amp;"."&amp;D$8&amp;" OWNER TO pgmisgrp1;"</f>
        <v>ALTER TABLE milscm_2023_010.azn_202310_backup_merge_mml_vs_item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milscm_2023_010.azn_202310_backup_merge_mml_vs_item</v>
      </c>
      <c r="O11" s="78"/>
      <c r="P11" s="78"/>
      <c r="Q11" s="78"/>
      <c r="R11" s="78"/>
      <c r="S11" s="78"/>
      <c r="T11" s="78"/>
      <c r="AJ11" s="78" t="str">
        <f>"ADD CONSTRAINT "&amp;D$8&amp;"_pkey PRIMARY KEY"</f>
        <v>ADD CONSTRAINT azn_202310_backup_merge_mml_vs_item_pkey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milscm_2023_010.azn_202310_backup_merge_mml_vs_item IS 'バックアップ_バイタルサインモジュール_記録項目';</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milscm_2023_010.azn_202310_backup_merge_mml_vs_item.torikomi_ym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milscm_2023_010.azn_202310_backup_merge_mml_vs_item.mil_karute_id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milscm_2023_010.azn_202310_backup_merge_mml_vs_item.facility_id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milscm_2023_010.azn_202310_backup_merge_mml_vs_item.shinryo_ymd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milscm_2023_010.azn_202310_backup_merge_mml_vs_item.data_type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milscm_2023_010.azn_202310_backup_merge_mml_vs_item.master_id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milscm_2023_010.azn_202310_backup_merge_mml_vs_item.uid IS '文書ユニークID';</v>
      </c>
    </row>
    <row r="20" spans="1:52" s="25" customFormat="1">
      <c r="A20" s="4"/>
      <c r="B20" s="21">
        <f t="shared" si="2"/>
        <v>8</v>
      </c>
      <c r="C20" s="13" t="s">
        <v>1724</v>
      </c>
      <c r="D20" s="13" t="s">
        <v>1725</v>
      </c>
      <c r="E20" s="7" t="s">
        <v>127</v>
      </c>
      <c r="F20" s="7" t="s">
        <v>205</v>
      </c>
      <c r="G20" s="7" t="str">
        <f t="shared" si="3"/>
        <v>integer</v>
      </c>
      <c r="H20" s="58"/>
      <c r="I20" s="23" t="s">
        <v>127</v>
      </c>
      <c r="J20" s="24" t="s">
        <v>1747</v>
      </c>
      <c r="M20" s="4"/>
      <c r="N20" s="78"/>
      <c r="O20" s="78"/>
      <c r="P20" s="78" t="str">
        <f t="shared" si="4"/>
        <v>,vital_seq</v>
      </c>
      <c r="Q20" s="78" t="str">
        <f t="shared" si="0"/>
        <v>INTEGER</v>
      </c>
      <c r="R20" s="78" t="str">
        <f t="shared" si="1"/>
        <v/>
      </c>
      <c r="S20" s="78" t="str">
        <f t="shared" si="5"/>
        <v>NOT NULL</v>
      </c>
      <c r="T20" s="78" t="str">
        <f t="shared" si="6"/>
        <v>-- バイタルSEQ</v>
      </c>
      <c r="U20" s="4"/>
      <c r="AA20" s="4"/>
      <c r="AB20" s="4"/>
      <c r="AC20" s="4"/>
      <c r="AD20" s="4"/>
      <c r="AE20" s="4"/>
      <c r="AF20" s="4"/>
      <c r="AG20" s="4"/>
      <c r="AH20" s="4"/>
      <c r="AI20" s="4"/>
      <c r="AJ20" s="78" t="str">
        <f>IF(E20="○",IF(COUNTA(E$13:E20)=1,"",",")&amp;D20,"")</f>
        <v>,vital_seq</v>
      </c>
      <c r="AK20" s="4"/>
      <c r="AL20" s="4"/>
      <c r="AM20" s="4"/>
      <c r="AN20" s="4"/>
      <c r="AO20" s="4"/>
      <c r="AP20" s="4"/>
      <c r="AQ20" s="4"/>
      <c r="AR20" s="4"/>
      <c r="AS20" s="78" t="str">
        <f>"COMMENT ON COLUMN "&amp;エンティティ一覧!$O$2&amp;"."&amp;D$8&amp;"."&amp;D20&amp;" IS '"&amp;C20&amp;"';"</f>
        <v>COMMENT ON COLUMN milscm_2023_010.azn_202310_backup_merge_mml_vs_item.vital_seq IS 'バイタルSEQ';</v>
      </c>
    </row>
    <row r="21" spans="1:52" s="25" customFormat="1">
      <c r="A21" s="4"/>
      <c r="B21" s="21">
        <f t="shared" si="2"/>
        <v>9</v>
      </c>
      <c r="C21" s="13" t="s">
        <v>1761</v>
      </c>
      <c r="D21" s="13" t="s">
        <v>1762</v>
      </c>
      <c r="E21" s="7" t="s">
        <v>127</v>
      </c>
      <c r="F21" s="7" t="s">
        <v>205</v>
      </c>
      <c r="G21" s="7" t="str">
        <f t="shared" si="3"/>
        <v>integer</v>
      </c>
      <c r="H21" s="58"/>
      <c r="I21" s="23" t="s">
        <v>127</v>
      </c>
      <c r="J21" s="24" t="s">
        <v>1769</v>
      </c>
      <c r="M21" s="4"/>
      <c r="N21" s="78"/>
      <c r="O21" s="78"/>
      <c r="P21" s="78" t="str">
        <f t="shared" si="4"/>
        <v>,item_seq</v>
      </c>
      <c r="Q21" s="78" t="str">
        <f t="shared" si="0"/>
        <v>INTEGER</v>
      </c>
      <c r="R21" s="78" t="str">
        <f t="shared" si="1"/>
        <v/>
      </c>
      <c r="S21" s="78" t="str">
        <f t="shared" si="5"/>
        <v>NOT NULL</v>
      </c>
      <c r="T21" s="78" t="str">
        <f t="shared" si="6"/>
        <v>-- 項目SEQ</v>
      </c>
      <c r="U21" s="4"/>
      <c r="AA21" s="4"/>
      <c r="AB21" s="4"/>
      <c r="AC21" s="4"/>
      <c r="AD21" s="4"/>
      <c r="AE21" s="4"/>
      <c r="AF21" s="4"/>
      <c r="AG21" s="4"/>
      <c r="AH21" s="4"/>
      <c r="AI21" s="4"/>
      <c r="AJ21" s="78" t="str">
        <f>IF(E21="○",IF(COUNTA(E$13:E21)=1,"",",")&amp;D21,"")</f>
        <v>,item_seq</v>
      </c>
      <c r="AK21" s="4"/>
      <c r="AL21" s="4"/>
      <c r="AM21" s="4"/>
      <c r="AN21" s="4"/>
      <c r="AO21" s="4"/>
      <c r="AP21" s="4"/>
      <c r="AQ21" s="4"/>
      <c r="AR21" s="4"/>
      <c r="AS21" s="78" t="str">
        <f>"COMMENT ON COLUMN "&amp;エンティティ一覧!$O$2&amp;"."&amp;D$8&amp;"."&amp;D21&amp;" IS '"&amp;C21&amp;"';"</f>
        <v>COMMENT ON COLUMN milscm_2023_010.azn_202310_backup_merge_mml_vs_item.item_seq IS '項目SEQ';</v>
      </c>
    </row>
    <row r="22" spans="1:52" s="25" customFormat="1" ht="37.5">
      <c r="A22" s="4"/>
      <c r="B22" s="21">
        <f t="shared" si="2"/>
        <v>10</v>
      </c>
      <c r="C22" s="13" t="s">
        <v>1668</v>
      </c>
      <c r="D22" s="13" t="s">
        <v>1669</v>
      </c>
      <c r="E22" s="7"/>
      <c r="F22" s="7" t="s">
        <v>868</v>
      </c>
      <c r="G22" s="7" t="str">
        <f t="shared" si="3"/>
        <v>text</v>
      </c>
      <c r="H22" s="58"/>
      <c r="I22" s="23"/>
      <c r="J22" s="24" t="s">
        <v>1770</v>
      </c>
      <c r="M22" s="4"/>
      <c r="N22" s="78"/>
      <c r="O22" s="78"/>
      <c r="P22" s="78" t="str">
        <f t="shared" si="4"/>
        <v>,item_name</v>
      </c>
      <c r="Q22" s="78" t="str">
        <f t="shared" si="0"/>
        <v>TEXT</v>
      </c>
      <c r="R22" s="78" t="str">
        <f t="shared" si="1"/>
        <v/>
      </c>
      <c r="S22" s="78" t="str">
        <f t="shared" si="5"/>
        <v/>
      </c>
      <c r="T22" s="78" t="str">
        <f t="shared" si="6"/>
        <v>-- 項目名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milscm_2023_010.azn_202310_backup_merge_mml_vs_item.item_name IS '項目名';</v>
      </c>
    </row>
    <row r="23" spans="1:52" s="25" customFormat="1" ht="31.5">
      <c r="A23" s="4"/>
      <c r="B23" s="21">
        <f t="shared" si="2"/>
        <v>11</v>
      </c>
      <c r="C23" s="13" t="s">
        <v>1763</v>
      </c>
      <c r="D23" s="13" t="s">
        <v>1764</v>
      </c>
      <c r="E23" s="7"/>
      <c r="F23" s="7" t="s">
        <v>868</v>
      </c>
      <c r="G23" s="7" t="str">
        <f t="shared" si="3"/>
        <v>text</v>
      </c>
      <c r="H23" s="58"/>
      <c r="I23" s="23"/>
      <c r="J23" s="24" t="s">
        <v>1771</v>
      </c>
      <c r="M23" s="4"/>
      <c r="N23" s="78"/>
      <c r="O23" s="78"/>
      <c r="P23" s="78" t="str">
        <f t="shared" si="4"/>
        <v>,vital_sign_value</v>
      </c>
      <c r="Q23" s="78" t="str">
        <f t="shared" si="0"/>
        <v>TEXT</v>
      </c>
      <c r="R23" s="78" t="str">
        <f t="shared" si="1"/>
        <v/>
      </c>
      <c r="S23" s="78" t="str">
        <f t="shared" si="5"/>
        <v/>
      </c>
      <c r="T23" s="78" t="str">
        <f t="shared" si="6"/>
        <v>-- 文字列で表記されるバイタルサインの値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milscm_2023_010.azn_202310_backup_merge_mml_vs_item.vital_sign_value IS '文字列で表記されるバイタルサインの値';</v>
      </c>
    </row>
    <row r="24" spans="1:52" s="25" customFormat="1">
      <c r="A24" s="4"/>
      <c r="B24" s="21">
        <f t="shared" si="2"/>
        <v>12</v>
      </c>
      <c r="C24" s="13" t="s">
        <v>1765</v>
      </c>
      <c r="D24" s="13" t="s">
        <v>1766</v>
      </c>
      <c r="E24" s="7"/>
      <c r="F24" s="7" t="s">
        <v>868</v>
      </c>
      <c r="G24" s="7" t="str">
        <f t="shared" si="3"/>
        <v>text</v>
      </c>
      <c r="H24" s="58"/>
      <c r="I24" s="23"/>
      <c r="J24" s="24" t="s">
        <v>1772</v>
      </c>
      <c r="M24" s="4"/>
      <c r="N24" s="78"/>
      <c r="O24" s="78"/>
      <c r="P24" s="78" t="str">
        <f t="shared" si="4"/>
        <v>,vital_sign_num_value</v>
      </c>
      <c r="Q24" s="78" t="str">
        <f t="shared" si="0"/>
        <v>TEXT</v>
      </c>
      <c r="R24" s="78" t="str">
        <f t="shared" si="1"/>
        <v/>
      </c>
      <c r="S24" s="78" t="str">
        <f t="shared" si="5"/>
        <v/>
      </c>
      <c r="T24" s="78" t="str">
        <f t="shared" si="6"/>
        <v>-- 数値で表記されるバイタルサインの値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milscm_2023_010.azn_202310_backup_merge_mml_vs_item.vital_sign_num_value IS '数値で表記されるバイタルサインの値';</v>
      </c>
    </row>
    <row r="25" spans="1:52" s="25" customFormat="1" ht="38.25" thickBot="1">
      <c r="A25" s="4"/>
      <c r="B25" s="27">
        <f>ROW()-12</f>
        <v>13</v>
      </c>
      <c r="C25" s="57" t="s">
        <v>1767</v>
      </c>
      <c r="D25" s="57" t="s">
        <v>1768</v>
      </c>
      <c r="E25" s="56"/>
      <c r="F25" s="56" t="s">
        <v>868</v>
      </c>
      <c r="G25" s="56" t="str">
        <f t="shared" si="3"/>
        <v>text</v>
      </c>
      <c r="H25" s="59"/>
      <c r="I25" s="60"/>
      <c r="J25" s="64" t="s">
        <v>1773</v>
      </c>
      <c r="N25" s="78"/>
      <c r="O25" s="78"/>
      <c r="P25" s="78" t="str">
        <f t="shared" si="4"/>
        <v>,vital_sign_unit</v>
      </c>
      <c r="Q25" s="78" t="str">
        <f t="shared" si="0"/>
        <v>TEXT</v>
      </c>
      <c r="R25" s="78" t="str">
        <f t="shared" si="1"/>
        <v/>
      </c>
      <c r="S25" s="78" t="str">
        <f t="shared" si="5"/>
        <v/>
      </c>
      <c r="T25" s="78" t="str">
        <f t="shared" si="6"/>
        <v>-- バイタルサインの単位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milscm_2023_010.azn_202310_backup_merge_mml_vs_item.vital_sign_unit IS 'バイタルサインの単位';</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000-000000000000}"/>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ENT_01_C4-40</v>
      </c>
      <c r="E6" s="239"/>
      <c r="F6" s="239"/>
      <c r="G6" s="239"/>
      <c r="H6" s="239"/>
      <c r="I6" s="239"/>
      <c r="J6" s="240"/>
    </row>
    <row r="7" spans="1:45">
      <c r="B7" s="228" t="s">
        <v>115</v>
      </c>
      <c r="C7" s="229"/>
      <c r="D7" s="230" t="s">
        <v>1774</v>
      </c>
      <c r="E7" s="231"/>
      <c r="F7" s="231"/>
      <c r="G7" s="231"/>
      <c r="H7" s="231"/>
      <c r="I7" s="231"/>
      <c r="J7" s="232"/>
    </row>
    <row r="8" spans="1:45">
      <c r="B8" s="228" t="s">
        <v>116</v>
      </c>
      <c r="C8" s="229"/>
      <c r="D8" s="230" t="str">
        <f>エンティティ一覧!AE2&amp;"_"&amp;D5&amp;"_merge_mml_fs_vitalsign"</f>
        <v>azn_202310_backup_merge_mml_fs_vitalsign</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milscm_2023_010.azn_202310_backup_merge_mml_fs_vitalsign;</v>
      </c>
      <c r="O10" s="78"/>
      <c r="P10" s="78"/>
      <c r="Q10" s="78"/>
      <c r="R10" s="78"/>
      <c r="S10" s="78"/>
      <c r="T10" s="78"/>
      <c r="AJ10" s="78" t="str">
        <f>"ALTER TABLE ONLY "&amp;エンティティ一覧!$O$2&amp;"."&amp;D$8</f>
        <v>ALTER TABLE ONLY milscm_2023_010.azn_202310_backup_merge_mml_fs_vitalsign</v>
      </c>
      <c r="AS10" s="78" t="str">
        <f>"ALTER TABLE "&amp;エンティティ一覧!$O$2&amp;"."&amp;D$8&amp;" OWNER TO pgmisgrp1;"</f>
        <v>ALTER TABLE milscm_2023_010.azn_202310_backup_merge_mml_fs_vitalsign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milscm_2023_010.azn_202310_backup_merge_mml_fs_vitalsign</v>
      </c>
      <c r="O11" s="78"/>
      <c r="P11" s="78"/>
      <c r="Q11" s="78"/>
      <c r="R11" s="78"/>
      <c r="S11" s="78"/>
      <c r="T11" s="78"/>
      <c r="AJ11" s="78" t="str">
        <f>"ADD CONSTRAINT "&amp;D$8&amp;"_pkey PRIMARY KEY"</f>
        <v>ADD CONSTRAINT azn_202310_backup_merge_mml_fs_vitalsign_pkey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milscm_2023_010.azn_202310_backup_merge_mml_fs_vitalsign IS 'バックアップ_体温表モジュール_バイタルサイン';</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milscm_2023_010.azn_202310_backup_merge_mml_fs_vitalsign.torikomi_ym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milscm_2023_010.azn_202310_backup_merge_mml_fs_vitalsign.mil_karute_id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milscm_2023_010.azn_202310_backup_merge_mml_fs_vitalsign.facility_id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milscm_2023_010.azn_202310_backup_merge_mml_fs_vitalsign.shinryo_ymd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milscm_2023_010.azn_202310_backup_merge_mml_fs_vitalsign.data_type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milscm_2023_010.azn_202310_backup_merge_mml_fs_vitalsign.master_id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milscm_2023_010.azn_202310_backup_merge_mml_fs_vitalsign.uid IS '文書ユニークID';</v>
      </c>
    </row>
    <row r="20" spans="1:45" s="25" customFormat="1">
      <c r="A20" s="4"/>
      <c r="B20" s="21">
        <f t="shared" si="2"/>
        <v>8</v>
      </c>
      <c r="C20" s="13" t="s">
        <v>1775</v>
      </c>
      <c r="D20" s="13" t="s">
        <v>1776</v>
      </c>
      <c r="E20" s="7" t="s">
        <v>127</v>
      </c>
      <c r="F20" s="7" t="s">
        <v>205</v>
      </c>
      <c r="G20" s="7" t="str">
        <f t="shared" si="3"/>
        <v>integer</v>
      </c>
      <c r="H20" s="58"/>
      <c r="I20" s="23" t="s">
        <v>127</v>
      </c>
      <c r="J20" s="24" t="s">
        <v>1777</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milscm_2023_010.azn_202310_backup_merge_mml_fs_vitalsign.taionhyo_seq IS '体温表SEQ';</v>
      </c>
    </row>
    <row r="21" spans="1:45" s="25" customFormat="1">
      <c r="A21" s="4"/>
      <c r="B21" s="21">
        <f t="shared" si="2"/>
        <v>9</v>
      </c>
      <c r="C21" s="13" t="s">
        <v>1724</v>
      </c>
      <c r="D21" s="13" t="s">
        <v>1725</v>
      </c>
      <c r="E21" s="7" t="s">
        <v>127</v>
      </c>
      <c r="F21" s="7" t="s">
        <v>205</v>
      </c>
      <c r="G21" s="7" t="str">
        <f t="shared" si="3"/>
        <v>integer</v>
      </c>
      <c r="H21" s="58"/>
      <c r="I21" s="23" t="s">
        <v>127</v>
      </c>
      <c r="J21" s="24" t="s">
        <v>1747</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milscm_2023_010.azn_202310_backup_merge_mml_fs_vitalsign.vital_seq IS 'バイタルSEQ';</v>
      </c>
    </row>
    <row r="22" spans="1:45" s="25" customFormat="1">
      <c r="A22" s="4"/>
      <c r="B22" s="21">
        <f t="shared" si="2"/>
        <v>10</v>
      </c>
      <c r="C22" s="13" t="s">
        <v>1726</v>
      </c>
      <c r="D22" s="13" t="s">
        <v>1727</v>
      </c>
      <c r="E22" s="7"/>
      <c r="F22" s="7" t="s">
        <v>868</v>
      </c>
      <c r="G22" s="7" t="str">
        <f t="shared" si="3"/>
        <v>text</v>
      </c>
      <c r="H22" s="58"/>
      <c r="I22" s="23"/>
      <c r="J22" s="24" t="s">
        <v>1748</v>
      </c>
      <c r="M22" s="4"/>
      <c r="N22" s="78"/>
      <c r="O22" s="78"/>
      <c r="P22" s="78" t="str">
        <f t="shared" si="4"/>
        <v>,department_name</v>
      </c>
      <c r="Q22" s="78" t="str">
        <f t="shared" si="0"/>
        <v>TEXT</v>
      </c>
      <c r="R22" s="78" t="str">
        <f t="shared" si="1"/>
        <v/>
      </c>
      <c r="S22" s="78" t="str">
        <f t="shared" si="5"/>
        <v/>
      </c>
      <c r="T22" s="78" t="str">
        <f t="shared" si="6"/>
        <v>-- 診療科名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milscm_2023_010.azn_202310_backup_merge_mml_fs_vitalsign.department_name IS '診療科名';</v>
      </c>
    </row>
    <row r="23" spans="1:45" s="25" customFormat="1" ht="37.5">
      <c r="A23" s="4"/>
      <c r="B23" s="21">
        <f t="shared" si="2"/>
        <v>11</v>
      </c>
      <c r="C23" s="13" t="s">
        <v>606</v>
      </c>
      <c r="D23" s="13" t="s">
        <v>1728</v>
      </c>
      <c r="E23" s="7"/>
      <c r="F23" s="7" t="s">
        <v>868</v>
      </c>
      <c r="G23" s="7" t="str">
        <f t="shared" si="3"/>
        <v>text</v>
      </c>
      <c r="H23" s="58"/>
      <c r="I23" s="23"/>
      <c r="J23" s="24" t="s">
        <v>1749</v>
      </c>
      <c r="M23" s="4"/>
      <c r="N23" s="78"/>
      <c r="O23" s="78"/>
      <c r="P23" s="78" t="str">
        <f t="shared" si="4"/>
        <v>,department_code</v>
      </c>
      <c r="Q23" s="78" t="str">
        <f t="shared" si="0"/>
        <v>TEXT</v>
      </c>
      <c r="R23" s="78" t="str">
        <f t="shared" si="1"/>
        <v/>
      </c>
      <c r="S23" s="78" t="str">
        <f t="shared" si="5"/>
        <v/>
      </c>
      <c r="T23" s="78" t="str">
        <f t="shared" si="6"/>
        <v>-- 診療科コード</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milscm_2023_010.azn_202310_backup_merge_mml_fs_vitalsign.department_code IS '診療科コード';</v>
      </c>
    </row>
    <row r="24" spans="1:45" s="25" customFormat="1">
      <c r="A24" s="4"/>
      <c r="B24" s="21">
        <f t="shared" si="2"/>
        <v>12</v>
      </c>
      <c r="C24" s="13" t="s">
        <v>1729</v>
      </c>
      <c r="D24" s="13" t="s">
        <v>1730</v>
      </c>
      <c r="E24" s="7"/>
      <c r="F24" s="7" t="s">
        <v>868</v>
      </c>
      <c r="G24" s="7" t="str">
        <f t="shared" si="3"/>
        <v>text</v>
      </c>
      <c r="H24" s="58"/>
      <c r="I24" s="23"/>
      <c r="J24" s="24" t="s">
        <v>1750</v>
      </c>
      <c r="M24" s="4"/>
      <c r="N24" s="78"/>
      <c r="O24" s="78"/>
      <c r="P24" s="78" t="str">
        <f t="shared" si="4"/>
        <v>,ward</v>
      </c>
      <c r="Q24" s="78" t="str">
        <f t="shared" si="0"/>
        <v>TEXT</v>
      </c>
      <c r="R24" s="78" t="str">
        <f t="shared" si="1"/>
        <v/>
      </c>
      <c r="S24" s="78" t="str">
        <f t="shared" si="5"/>
        <v/>
      </c>
      <c r="T24" s="78" t="str">
        <f t="shared" si="6"/>
        <v>-- 病棟</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milscm_2023_010.azn_202310_backup_merge_mml_fs_vitalsign.ward IS '病棟';</v>
      </c>
    </row>
    <row r="25" spans="1:45" s="25" customFormat="1" ht="37.5">
      <c r="A25" s="4"/>
      <c r="B25" s="21">
        <f t="shared" si="2"/>
        <v>13</v>
      </c>
      <c r="C25" s="13" t="s">
        <v>239</v>
      </c>
      <c r="D25" s="13" t="s">
        <v>240</v>
      </c>
      <c r="E25" s="7"/>
      <c r="F25" s="7" t="s">
        <v>868</v>
      </c>
      <c r="G25" s="7" t="str">
        <f t="shared" si="3"/>
        <v>text</v>
      </c>
      <c r="H25" s="58"/>
      <c r="I25" s="23"/>
      <c r="J25" s="24" t="s">
        <v>1751</v>
      </c>
      <c r="M25" s="4"/>
      <c r="N25" s="78"/>
      <c r="O25" s="78"/>
      <c r="P25" s="78" t="str">
        <f t="shared" si="4"/>
        <v>,ward_code</v>
      </c>
      <c r="Q25" s="78" t="str">
        <f t="shared" si="0"/>
        <v>TEXT</v>
      </c>
      <c r="R25" s="78" t="str">
        <f t="shared" si="1"/>
        <v/>
      </c>
      <c r="S25" s="78" t="str">
        <f t="shared" si="5"/>
        <v/>
      </c>
      <c r="T25" s="78" t="str">
        <f t="shared" si="6"/>
        <v>-- 病棟コード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milscm_2023_010.azn_202310_backup_merge_mml_fs_vitalsign.ward_code IS '病棟コード';</v>
      </c>
    </row>
    <row r="26" spans="1:45" s="25" customFormat="1" ht="37.5">
      <c r="A26" s="4"/>
      <c r="B26" s="21">
        <f t="shared" si="2"/>
        <v>14</v>
      </c>
      <c r="C26" s="13" t="s">
        <v>1731</v>
      </c>
      <c r="D26" s="13" t="s">
        <v>1732</v>
      </c>
      <c r="E26" s="7"/>
      <c r="F26" s="7" t="s">
        <v>868</v>
      </c>
      <c r="G26" s="7" t="str">
        <f t="shared" si="3"/>
        <v>text</v>
      </c>
      <c r="H26" s="58"/>
      <c r="I26" s="23"/>
      <c r="J26" s="24" t="s">
        <v>1752</v>
      </c>
      <c r="M26" s="4"/>
      <c r="N26" s="78"/>
      <c r="O26" s="78"/>
      <c r="P26" s="78" t="str">
        <f t="shared" si="4"/>
        <v>,ward_code_id</v>
      </c>
      <c r="Q26" s="78" t="str">
        <f t="shared" si="0"/>
        <v>TEXT</v>
      </c>
      <c r="R26" s="78" t="str">
        <f t="shared" si="1"/>
        <v/>
      </c>
      <c r="S26" s="78" t="str">
        <f t="shared" si="5"/>
        <v/>
      </c>
      <c r="T26" s="78" t="str">
        <f t="shared" si="6"/>
        <v>-- 病棟コードID</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milscm_2023_010.azn_202310_backup_merge_mml_fs_vitalsign.ward_code_id IS '病棟コードID';</v>
      </c>
    </row>
    <row r="27" spans="1:45" s="25" customFormat="1">
      <c r="A27" s="4"/>
      <c r="B27" s="21">
        <f t="shared" si="2"/>
        <v>15</v>
      </c>
      <c r="C27" s="13" t="s">
        <v>1733</v>
      </c>
      <c r="D27" s="13" t="s">
        <v>1734</v>
      </c>
      <c r="E27" s="7"/>
      <c r="F27" s="7" t="s">
        <v>868</v>
      </c>
      <c r="G27" s="7" t="str">
        <f t="shared" si="3"/>
        <v>text</v>
      </c>
      <c r="H27" s="58"/>
      <c r="I27" s="23"/>
      <c r="J27" s="24" t="s">
        <v>1342</v>
      </c>
      <c r="M27" s="4"/>
      <c r="N27" s="78"/>
      <c r="O27" s="78"/>
      <c r="P27" s="78" t="str">
        <f t="shared" si="4"/>
        <v>,vital_sign_time</v>
      </c>
      <c r="Q27" s="78" t="str">
        <f t="shared" si="0"/>
        <v>TEXT</v>
      </c>
      <c r="R27" s="78" t="str">
        <f t="shared" si="1"/>
        <v/>
      </c>
      <c r="S27" s="78" t="str">
        <f t="shared" si="5"/>
        <v/>
      </c>
      <c r="T27" s="78" t="str">
        <f t="shared" si="6"/>
        <v>-- バイタルサインの計測時間</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milscm_2023_010.azn_202310_backup_merge_mml_fs_vitalsign.vital_sign_time IS 'バイタルサインの計測時間';</v>
      </c>
    </row>
    <row r="28" spans="1:45" s="25" customFormat="1">
      <c r="A28" s="4"/>
      <c r="B28" s="21">
        <f t="shared" si="2"/>
        <v>16</v>
      </c>
      <c r="C28" s="13" t="s">
        <v>1735</v>
      </c>
      <c r="D28" s="13" t="s">
        <v>1736</v>
      </c>
      <c r="E28" s="7"/>
      <c r="F28" s="7" t="s">
        <v>868</v>
      </c>
      <c r="G28" s="7" t="str">
        <f t="shared" si="3"/>
        <v>text</v>
      </c>
      <c r="H28" s="58"/>
      <c r="I28" s="23"/>
      <c r="J28" s="24" t="s">
        <v>1754</v>
      </c>
      <c r="M28" s="4"/>
      <c r="N28" s="78"/>
      <c r="O28" s="78"/>
      <c r="P28" s="78" t="str">
        <f t="shared" si="4"/>
        <v>,keisoku_tejun</v>
      </c>
      <c r="Q28" s="78" t="str">
        <f t="shared" si="0"/>
        <v>TEXT</v>
      </c>
      <c r="R28" s="78" t="str">
        <f t="shared" si="1"/>
        <v/>
      </c>
      <c r="S28" s="78" t="str">
        <f t="shared" si="5"/>
        <v/>
      </c>
      <c r="T28" s="78" t="str">
        <f t="shared" si="6"/>
        <v>-- 計測手順</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milscm_2023_010.azn_202310_backup_merge_mml_fs_vitalsign.keisoku_tejun IS '計測手順';</v>
      </c>
    </row>
    <row r="29" spans="1:45" s="25" customFormat="1">
      <c r="A29" s="4"/>
      <c r="B29" s="21">
        <f t="shared" si="2"/>
        <v>17</v>
      </c>
      <c r="C29" s="13" t="s">
        <v>1737</v>
      </c>
      <c r="D29" s="13" t="s">
        <v>1738</v>
      </c>
      <c r="E29" s="7"/>
      <c r="F29" s="7" t="s">
        <v>868</v>
      </c>
      <c r="G29" s="7" t="str">
        <f t="shared" si="3"/>
        <v>text</v>
      </c>
      <c r="H29" s="58"/>
      <c r="I29" s="23"/>
      <c r="J29" s="24" t="s">
        <v>1755</v>
      </c>
      <c r="M29" s="4"/>
      <c r="N29" s="78"/>
      <c r="O29" s="78"/>
      <c r="P29" s="78" t="str">
        <f t="shared" si="4"/>
        <v>,keisoku_device</v>
      </c>
      <c r="Q29" s="78" t="str">
        <f t="shared" si="0"/>
        <v>TEXT</v>
      </c>
      <c r="R29" s="78" t="str">
        <f t="shared" si="1"/>
        <v/>
      </c>
      <c r="S29" s="78" t="str">
        <f t="shared" si="5"/>
        <v/>
      </c>
      <c r="T29" s="78" t="str">
        <f t="shared" si="6"/>
        <v>-- 計測器具</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milscm_2023_010.azn_202310_backup_merge_mml_fs_vitalsign.keisoku_device IS '計測器具';</v>
      </c>
    </row>
    <row r="30" spans="1:45" s="25" customFormat="1">
      <c r="A30" s="4"/>
      <c r="B30" s="21">
        <f t="shared" si="2"/>
        <v>18</v>
      </c>
      <c r="C30" s="13" t="s">
        <v>1739</v>
      </c>
      <c r="D30" s="13" t="s">
        <v>1740</v>
      </c>
      <c r="E30" s="7"/>
      <c r="F30" s="7" t="s">
        <v>868</v>
      </c>
      <c r="G30" s="7" t="str">
        <f t="shared" si="3"/>
        <v>text</v>
      </c>
      <c r="H30" s="58"/>
      <c r="I30" s="23"/>
      <c r="J30" s="24" t="s">
        <v>1756</v>
      </c>
      <c r="M30" s="4"/>
      <c r="N30" s="78"/>
      <c r="O30" s="78"/>
      <c r="P30" s="78" t="str">
        <f t="shared" si="4"/>
        <v>,keisoku_bui</v>
      </c>
      <c r="Q30" s="78" t="str">
        <f t="shared" si="0"/>
        <v>TEXT</v>
      </c>
      <c r="R30" s="78" t="str">
        <f t="shared" si="1"/>
        <v/>
      </c>
      <c r="S30" s="78" t="str">
        <f t="shared" si="5"/>
        <v/>
      </c>
      <c r="T30" s="78" t="str">
        <f t="shared" si="6"/>
        <v>-- 計測部位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milscm_2023_010.azn_202310_backup_merge_mml_fs_vitalsign.keisoku_bui IS '計測部位';</v>
      </c>
    </row>
    <row r="31" spans="1:45" s="25" customFormat="1">
      <c r="A31" s="4"/>
      <c r="B31" s="21">
        <f t="shared" si="2"/>
        <v>19</v>
      </c>
      <c r="C31" s="13" t="s">
        <v>1741</v>
      </c>
      <c r="D31" s="13" t="s">
        <v>1742</v>
      </c>
      <c r="E31" s="7"/>
      <c r="F31" s="7" t="s">
        <v>868</v>
      </c>
      <c r="G31" s="7" t="str">
        <f t="shared" si="3"/>
        <v>text</v>
      </c>
      <c r="H31" s="58"/>
      <c r="I31" s="23"/>
      <c r="J31" s="24" t="s">
        <v>1757</v>
      </c>
      <c r="M31" s="4"/>
      <c r="N31" s="78"/>
      <c r="O31" s="78"/>
      <c r="P31" s="78" t="str">
        <f t="shared" si="4"/>
        <v>,keisoku_position</v>
      </c>
      <c r="Q31" s="78" t="str">
        <f t="shared" si="0"/>
        <v>TEXT</v>
      </c>
      <c r="R31" s="78" t="str">
        <f t="shared" si="1"/>
        <v/>
      </c>
      <c r="S31" s="78" t="str">
        <f t="shared" si="5"/>
        <v/>
      </c>
      <c r="T31" s="78" t="str">
        <f t="shared" si="6"/>
        <v>-- 計測時体位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milscm_2023_010.azn_202310_backup_merge_mml_fs_vitalsign.keisoku_position IS '計測時体位';</v>
      </c>
    </row>
    <row r="32" spans="1:45" s="25" customFormat="1" ht="31.5">
      <c r="A32" s="4"/>
      <c r="B32" s="21">
        <f t="shared" si="2"/>
        <v>20</v>
      </c>
      <c r="C32" s="13" t="s">
        <v>1743</v>
      </c>
      <c r="D32" s="13" t="s">
        <v>1744</v>
      </c>
      <c r="E32" s="7"/>
      <c r="F32" s="7" t="s">
        <v>868</v>
      </c>
      <c r="G32" s="7" t="str">
        <f t="shared" si="3"/>
        <v>text</v>
      </c>
      <c r="H32" s="58"/>
      <c r="I32" s="23"/>
      <c r="J32" s="24" t="s">
        <v>1758</v>
      </c>
      <c r="M32" s="4"/>
      <c r="N32" s="78"/>
      <c r="O32" s="78"/>
      <c r="P32" s="78" t="str">
        <f t="shared" si="4"/>
        <v>,keisoku_method_comment</v>
      </c>
      <c r="Q32" s="78" t="str">
        <f t="shared" si="0"/>
        <v>TEXT</v>
      </c>
      <c r="R32" s="78" t="str">
        <f t="shared" si="1"/>
        <v/>
      </c>
      <c r="S32" s="78" t="str">
        <f t="shared" si="5"/>
        <v/>
      </c>
      <c r="T32" s="78" t="str">
        <f t="shared" si="6"/>
        <v>-- 計測方法コメント</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milscm_2023_010.azn_202310_backup_merge_mml_fs_vitalsign.keisoku_method_comment IS '計測方法コメント';</v>
      </c>
    </row>
    <row r="33" spans="1:52" s="25" customFormat="1" ht="19.5" thickBot="1">
      <c r="A33" s="4"/>
      <c r="B33" s="27">
        <f>ROW()-12</f>
        <v>21</v>
      </c>
      <c r="C33" s="57" t="s">
        <v>1745</v>
      </c>
      <c r="D33" s="57" t="s">
        <v>1746</v>
      </c>
      <c r="E33" s="56"/>
      <c r="F33" s="56" t="s">
        <v>868</v>
      </c>
      <c r="G33" s="56" t="str">
        <f t="shared" si="3"/>
        <v>text</v>
      </c>
      <c r="H33" s="59"/>
      <c r="I33" s="60"/>
      <c r="J33" s="64" t="s">
        <v>1759</v>
      </c>
      <c r="N33" s="78"/>
      <c r="O33" s="78"/>
      <c r="P33" s="78" t="str">
        <f t="shared" si="4"/>
        <v>,kiroku_comment</v>
      </c>
      <c r="Q33" s="78" t="str">
        <f t="shared" si="0"/>
        <v>TEXT</v>
      </c>
      <c r="R33" s="78" t="str">
        <f t="shared" si="1"/>
        <v/>
      </c>
      <c r="S33" s="78" t="str">
        <f t="shared" si="5"/>
        <v/>
      </c>
      <c r="T33" s="78" t="str">
        <f t="shared" si="6"/>
        <v>-- 記録コメント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milscm_2023_010.azn_202310_backup_merge_mml_fs_vitalsign.kiroku_comment IS '記録コメント';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100-000000000000}"/>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01</v>
      </c>
      <c r="E4" s="215"/>
      <c r="F4" s="215"/>
      <c r="G4" s="215"/>
      <c r="H4" s="215"/>
      <c r="I4" s="215"/>
      <c r="J4" s="216"/>
    </row>
    <row r="5" spans="1:45">
      <c r="B5" s="228" t="s">
        <v>3755</v>
      </c>
      <c r="C5" s="229"/>
      <c r="D5" s="238" t="str">
        <f>VLOOKUP(D7,エンティティ一覧!A1:'エンティティ一覧'!AM10142,7,FALSE)</f>
        <v>backup</v>
      </c>
      <c r="E5" s="239"/>
      <c r="F5" s="239"/>
      <c r="G5" s="239"/>
      <c r="H5" s="239"/>
      <c r="I5" s="239"/>
      <c r="J5" s="240"/>
    </row>
    <row r="6" spans="1:45">
      <c r="B6" s="228" t="s">
        <v>3756</v>
      </c>
      <c r="C6" s="229"/>
      <c r="D6" s="238" t="str">
        <f>VLOOKUP(D7,エンティティ一覧!A1:'エンティティ一覧'!AM10142,15,FALSE)</f>
        <v>ENT_01_C4-41</v>
      </c>
      <c r="E6" s="239"/>
      <c r="F6" s="239"/>
      <c r="G6" s="239"/>
      <c r="H6" s="239"/>
      <c r="I6" s="239"/>
      <c r="J6" s="240"/>
    </row>
    <row r="7" spans="1:45">
      <c r="B7" s="228" t="s">
        <v>115</v>
      </c>
      <c r="C7" s="229"/>
      <c r="D7" s="230" t="s">
        <v>1778</v>
      </c>
      <c r="E7" s="231"/>
      <c r="F7" s="231"/>
      <c r="G7" s="231"/>
      <c r="H7" s="231"/>
      <c r="I7" s="231"/>
      <c r="J7" s="232"/>
    </row>
    <row r="8" spans="1:45">
      <c r="B8" s="228" t="s">
        <v>116</v>
      </c>
      <c r="C8" s="229"/>
      <c r="D8" s="230" t="str">
        <f>エンティティ一覧!AE2&amp;"_"&amp;D5&amp;"_merge_mml_fs_item"</f>
        <v>azn_202310_backup_merge_mml_fs_item</v>
      </c>
      <c r="E8" s="231"/>
      <c r="F8" s="231"/>
      <c r="G8" s="231"/>
      <c r="H8" s="231"/>
      <c r="I8" s="231"/>
      <c r="J8" s="232"/>
    </row>
    <row r="9" spans="1:45" ht="19.5" customHeight="1" thickBot="1">
      <c r="B9" s="233" t="s">
        <v>117</v>
      </c>
      <c r="C9" s="234"/>
      <c r="D9" s="235"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milscm_2023_010.azn_202310_backup_merge_mml_fs_item;</v>
      </c>
      <c r="O10" s="78"/>
      <c r="P10" s="78"/>
      <c r="Q10" s="78"/>
      <c r="R10" s="78"/>
      <c r="S10" s="78"/>
      <c r="T10" s="78"/>
      <c r="AJ10" s="78" t="str">
        <f>"ALTER TABLE ONLY "&amp;エンティティ一覧!$O$2&amp;"."&amp;D$8</f>
        <v>ALTER TABLE ONLY milscm_2023_010.azn_202310_backup_merge_mml_fs_item</v>
      </c>
      <c r="AS10" s="78" t="str">
        <f>"ALTER TABLE "&amp;エンティティ一覧!$O$2&amp;"."&amp;D$8&amp;" OWNER TO pgmisgrp1;"</f>
        <v>ALTER TABLE milscm_2023_010.azn_202310_backup_merge_mml_fs_item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milscm_2023_010.azn_202310_backup_merge_mml_fs_item</v>
      </c>
      <c r="O11" s="78"/>
      <c r="P11" s="78"/>
      <c r="Q11" s="78"/>
      <c r="R11" s="78"/>
      <c r="S11" s="78"/>
      <c r="T11" s="78"/>
      <c r="AJ11" s="78" t="str">
        <f>"ADD CONSTRAINT "&amp;D$8&amp;"_pkey PRIMARY KEY"</f>
        <v>ADD CONSTRAINT azn_202310_backup_merge_mml_fs_item_pkey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milscm_2023_010.azn_202310_backup_merge_mml_fs_item IS 'バックアップ_体温表モジュール_記録項目';</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milscm_2023_010.azn_202310_backup_merge_mml_fs_item.torikomi_ym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milscm_2023_010.azn_202310_backup_merge_mml_fs_item.mil_karute_id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milscm_2023_010.azn_202310_backup_merge_mml_fs_item.facility_id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milscm_2023_010.azn_202310_backup_merge_mml_fs_item.shinryo_ymd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milscm_2023_010.azn_202310_backup_merge_mml_fs_item.data_type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milscm_2023_010.azn_202310_backup_merge_mml_fs_item.master_id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milscm_2023_010.azn_202310_backup_merge_mml_fs_item.uid IS '文書ユニークID';</v>
      </c>
    </row>
    <row r="20" spans="1:52" s="25" customFormat="1">
      <c r="A20" s="4"/>
      <c r="B20" s="21">
        <f t="shared" si="2"/>
        <v>8</v>
      </c>
      <c r="C20" s="13" t="s">
        <v>1775</v>
      </c>
      <c r="D20" s="13" t="s">
        <v>1776</v>
      </c>
      <c r="E20" s="7" t="s">
        <v>127</v>
      </c>
      <c r="F20" s="7" t="s">
        <v>205</v>
      </c>
      <c r="G20" s="7" t="str">
        <f t="shared" si="3"/>
        <v>integer</v>
      </c>
      <c r="H20" s="58"/>
      <c r="I20" s="23" t="s">
        <v>127</v>
      </c>
      <c r="J20" s="24" t="s">
        <v>1777</v>
      </c>
      <c r="M20" s="4"/>
      <c r="N20" s="78"/>
      <c r="O20" s="78"/>
      <c r="P20" s="78" t="str">
        <f t="shared" si="4"/>
        <v>,taionhyo_seq</v>
      </c>
      <c r="Q20" s="78" t="str">
        <f t="shared" si="0"/>
        <v>INTEGER</v>
      </c>
      <c r="R20" s="78" t="str">
        <f t="shared" si="1"/>
        <v/>
      </c>
      <c r="S20" s="78" t="str">
        <f t="shared" si="5"/>
        <v>NOT NULL</v>
      </c>
      <c r="T20" s="78" t="str">
        <f t="shared" si="6"/>
        <v>-- 体温表SEQ</v>
      </c>
      <c r="U20" s="4"/>
      <c r="AA20" s="4"/>
      <c r="AB20" s="4"/>
      <c r="AC20" s="4"/>
      <c r="AD20" s="4"/>
      <c r="AE20" s="4"/>
      <c r="AF20" s="4"/>
      <c r="AG20" s="4"/>
      <c r="AH20" s="4"/>
      <c r="AI20" s="4"/>
      <c r="AJ20" s="78" t="str">
        <f>IF(E20="○",IF(COUNTA(E$13:E20)=1,"",",")&amp;D20,"")</f>
        <v>,taionhyo_seq</v>
      </c>
      <c r="AK20" s="4"/>
      <c r="AL20" s="4"/>
      <c r="AM20" s="4"/>
      <c r="AN20" s="4"/>
      <c r="AO20" s="4"/>
      <c r="AP20" s="4"/>
      <c r="AQ20" s="4"/>
      <c r="AR20" s="4"/>
      <c r="AS20" s="78" t="str">
        <f>"COMMENT ON COLUMN "&amp;エンティティ一覧!$O$2&amp;"."&amp;D$8&amp;"."&amp;D20&amp;" IS '"&amp;C20&amp;"';"</f>
        <v>COMMENT ON COLUMN milscm_2023_010.azn_202310_backup_merge_mml_fs_item.taionhyo_seq IS '体温表SEQ';</v>
      </c>
    </row>
    <row r="21" spans="1:52" s="25" customFormat="1">
      <c r="A21" s="4"/>
      <c r="B21" s="21">
        <f t="shared" si="2"/>
        <v>9</v>
      </c>
      <c r="C21" s="13" t="s">
        <v>1724</v>
      </c>
      <c r="D21" s="13" t="s">
        <v>1725</v>
      </c>
      <c r="E21" s="7" t="s">
        <v>127</v>
      </c>
      <c r="F21" s="7" t="s">
        <v>205</v>
      </c>
      <c r="G21" s="7" t="str">
        <f t="shared" si="3"/>
        <v>integer</v>
      </c>
      <c r="H21" s="58"/>
      <c r="I21" s="23" t="s">
        <v>127</v>
      </c>
      <c r="J21" s="24" t="s">
        <v>1747</v>
      </c>
      <c r="M21" s="4"/>
      <c r="N21" s="78"/>
      <c r="O21" s="78"/>
      <c r="P21" s="78" t="str">
        <f t="shared" si="4"/>
        <v>,vital_seq</v>
      </c>
      <c r="Q21" s="78" t="str">
        <f t="shared" si="0"/>
        <v>INTEGER</v>
      </c>
      <c r="R21" s="78" t="str">
        <f t="shared" si="1"/>
        <v/>
      </c>
      <c r="S21" s="78" t="str">
        <f t="shared" si="5"/>
        <v>NOT NULL</v>
      </c>
      <c r="T21" s="78" t="str">
        <f t="shared" si="6"/>
        <v>-- バイタルSEQ</v>
      </c>
      <c r="U21" s="4"/>
      <c r="AA21" s="4"/>
      <c r="AB21" s="4"/>
      <c r="AC21" s="4"/>
      <c r="AD21" s="4"/>
      <c r="AE21" s="4"/>
      <c r="AF21" s="4"/>
      <c r="AG21" s="4"/>
      <c r="AH21" s="4"/>
      <c r="AI21" s="4"/>
      <c r="AJ21" s="78" t="str">
        <f>IF(E21="○",IF(COUNTA(E$13:E21)=1,"",",")&amp;D21,"")</f>
        <v>,vital_seq</v>
      </c>
      <c r="AK21" s="4"/>
      <c r="AL21" s="4"/>
      <c r="AM21" s="4"/>
      <c r="AN21" s="4"/>
      <c r="AO21" s="4"/>
      <c r="AP21" s="4"/>
      <c r="AQ21" s="4"/>
      <c r="AR21" s="4"/>
      <c r="AS21" s="78" t="str">
        <f>"COMMENT ON COLUMN "&amp;エンティティ一覧!$O$2&amp;"."&amp;D$8&amp;"."&amp;D21&amp;" IS '"&amp;C21&amp;"';"</f>
        <v>COMMENT ON COLUMN milscm_2023_010.azn_202310_backup_merge_mml_fs_item.vital_seq IS 'バイタルSEQ';</v>
      </c>
    </row>
    <row r="22" spans="1:52" s="25" customFormat="1">
      <c r="A22" s="4"/>
      <c r="B22" s="21">
        <f t="shared" si="2"/>
        <v>10</v>
      </c>
      <c r="C22" s="13" t="s">
        <v>1779</v>
      </c>
      <c r="D22" s="13" t="s">
        <v>1762</v>
      </c>
      <c r="E22" s="7" t="s">
        <v>127</v>
      </c>
      <c r="F22" s="7" t="s">
        <v>205</v>
      </c>
      <c r="G22" s="7" t="str">
        <f t="shared" si="3"/>
        <v>integer</v>
      </c>
      <c r="H22" s="58"/>
      <c r="I22" s="23" t="s">
        <v>127</v>
      </c>
      <c r="J22" s="24"/>
      <c r="M22" s="4"/>
      <c r="N22" s="78"/>
      <c r="O22" s="78"/>
      <c r="P22" s="78" t="str">
        <f t="shared" si="4"/>
        <v>,item_seq</v>
      </c>
      <c r="Q22" s="78" t="str">
        <f t="shared" si="0"/>
        <v>INTEGER</v>
      </c>
      <c r="R22" s="78" t="str">
        <f t="shared" si="1"/>
        <v/>
      </c>
      <c r="S22" s="78" t="str">
        <f t="shared" si="5"/>
        <v>NOT NULL</v>
      </c>
      <c r="T22" s="78" t="str">
        <f t="shared" si="6"/>
        <v>-- 項目SEQ</v>
      </c>
      <c r="U22" s="4"/>
      <c r="AA22" s="4"/>
      <c r="AB22" s="4"/>
      <c r="AC22" s="4"/>
      <c r="AD22" s="4"/>
      <c r="AE22" s="4"/>
      <c r="AF22" s="4"/>
      <c r="AG22" s="4"/>
      <c r="AH22" s="4"/>
      <c r="AI22" s="4"/>
      <c r="AJ22" s="78" t="str">
        <f>IF(E22="○",IF(COUNTA(E$13:E22)=1,"",",")&amp;D22,"")</f>
        <v>,item_seq</v>
      </c>
      <c r="AK22" s="4"/>
      <c r="AL22" s="4"/>
      <c r="AM22" s="4"/>
      <c r="AN22" s="4"/>
      <c r="AO22" s="4"/>
      <c r="AP22" s="4"/>
      <c r="AQ22" s="4"/>
      <c r="AR22" s="4"/>
      <c r="AS22" s="78" t="str">
        <f>"COMMENT ON COLUMN "&amp;エンティティ一覧!$O$2&amp;"."&amp;D$8&amp;"."&amp;D22&amp;" IS '"&amp;C22&amp;"';"</f>
        <v>COMMENT ON COLUMN milscm_2023_010.azn_202310_backup_merge_mml_fs_item.item_seq IS '項目SEQ';</v>
      </c>
    </row>
    <row r="23" spans="1:52" s="25" customFormat="1">
      <c r="A23" s="4"/>
      <c r="B23" s="21">
        <f t="shared" si="2"/>
        <v>11</v>
      </c>
      <c r="C23" s="13" t="s">
        <v>1668</v>
      </c>
      <c r="D23" s="13" t="s">
        <v>1669</v>
      </c>
      <c r="E23" s="7"/>
      <c r="F23" s="7" t="s">
        <v>868</v>
      </c>
      <c r="G23" s="7" t="str">
        <f t="shared" ref="G23" si="7">IF(F23="フラグ","boolean",IF(F23="文字列","text",IF(F23="整数","integer",IF(F23="実数","numeric",""))))</f>
        <v>text</v>
      </c>
      <c r="H23" s="58"/>
      <c r="I23" s="23"/>
      <c r="J23" s="24"/>
      <c r="M23" s="4"/>
      <c r="N23" s="78"/>
      <c r="O23" s="78"/>
      <c r="P23" s="78" t="str">
        <f t="shared" ref="P23" si="8">IF(B23&lt;&gt;1,","&amp;D23,D23)</f>
        <v>,item_name</v>
      </c>
      <c r="Q23" s="78" t="str">
        <f t="shared" ref="Q23" si="9">UPPER(G23)</f>
        <v>TEXT</v>
      </c>
      <c r="R23" s="78" t="str">
        <f t="shared" ref="R23" si="10">IF(H23&lt;&gt;"","default "&amp;IF(G23="text","'"&amp;H23&amp;"'",H23),"")</f>
        <v/>
      </c>
      <c r="S23" s="78" t="str">
        <f t="shared" ref="S23" si="11">IF(I23="○","NOT NULL","")</f>
        <v/>
      </c>
      <c r="T23" s="78" t="str">
        <f t="shared" ref="T23" si="12">"-- "&amp;C23</f>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milscm_2023_010.azn_202310_backup_merge_mml_fs_item.item_name IS '項目名';</v>
      </c>
    </row>
    <row r="24" spans="1:52" s="25" customFormat="1" ht="31.5">
      <c r="A24" s="4"/>
      <c r="B24" s="21">
        <f t="shared" si="2"/>
        <v>12</v>
      </c>
      <c r="C24" s="13" t="s">
        <v>1763</v>
      </c>
      <c r="D24" s="13" t="s">
        <v>1764</v>
      </c>
      <c r="E24" s="7"/>
      <c r="F24" s="7" t="s">
        <v>868</v>
      </c>
      <c r="G24" s="7" t="str">
        <f t="shared" si="3"/>
        <v>text</v>
      </c>
      <c r="H24" s="58"/>
      <c r="I24" s="23"/>
      <c r="J24" s="24"/>
      <c r="M24" s="4"/>
      <c r="N24" s="78"/>
      <c r="O24" s="78"/>
      <c r="P24" s="78" t="str">
        <f t="shared" si="4"/>
        <v>,vital_sign_value</v>
      </c>
      <c r="Q24" s="78" t="str">
        <f t="shared" si="0"/>
        <v>TEXT</v>
      </c>
      <c r="R24" s="78" t="str">
        <f t="shared" si="1"/>
        <v/>
      </c>
      <c r="S24" s="78" t="str">
        <f t="shared" si="5"/>
        <v/>
      </c>
      <c r="T24" s="78" t="str">
        <f t="shared" si="6"/>
        <v>-- 文字列で表記されるバイタルサインの値</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milscm_2023_010.azn_202310_backup_merge_mml_fs_item.vital_sign_value IS '文字列で表記されるバイタルサインの値';</v>
      </c>
    </row>
    <row r="25" spans="1:52" s="25" customFormat="1">
      <c r="A25" s="4"/>
      <c r="B25" s="21">
        <f t="shared" si="2"/>
        <v>13</v>
      </c>
      <c r="C25" s="13" t="s">
        <v>1765</v>
      </c>
      <c r="D25" s="13" t="s">
        <v>1766</v>
      </c>
      <c r="E25" s="7"/>
      <c r="F25" s="7" t="s">
        <v>868</v>
      </c>
      <c r="G25" s="7" t="str">
        <f t="shared" si="3"/>
        <v>text</v>
      </c>
      <c r="H25" s="58"/>
      <c r="I25" s="23"/>
      <c r="J25" s="24"/>
      <c r="M25" s="4"/>
      <c r="N25" s="78"/>
      <c r="O25" s="78"/>
      <c r="P25" s="78" t="str">
        <f t="shared" si="4"/>
        <v>,vital_sign_num_value</v>
      </c>
      <c r="Q25" s="78" t="str">
        <f t="shared" si="0"/>
        <v>TEXT</v>
      </c>
      <c r="R25" s="78" t="str">
        <f t="shared" si="1"/>
        <v/>
      </c>
      <c r="S25" s="78" t="str">
        <f t="shared" si="5"/>
        <v/>
      </c>
      <c r="T25" s="78" t="str">
        <f t="shared" si="6"/>
        <v>-- 数値で表記されるバイタルサインの値</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milscm_2023_010.azn_202310_backup_merge_mml_fs_item.vital_sign_num_value IS '数値で表記されるバイタルサインの値';</v>
      </c>
    </row>
    <row r="26" spans="1:52" s="25" customFormat="1" ht="19.5" thickBot="1">
      <c r="A26" s="4"/>
      <c r="B26" s="27">
        <f>ROW()-12</f>
        <v>14</v>
      </c>
      <c r="C26" s="57" t="s">
        <v>1767</v>
      </c>
      <c r="D26" s="57" t="s">
        <v>1768</v>
      </c>
      <c r="E26" s="56"/>
      <c r="F26" s="56" t="s">
        <v>868</v>
      </c>
      <c r="G26" s="56" t="str">
        <f t="shared" si="3"/>
        <v>text</v>
      </c>
      <c r="H26" s="59"/>
      <c r="I26" s="60"/>
      <c r="J26" s="64"/>
      <c r="N26" s="78"/>
      <c r="O26" s="78"/>
      <c r="P26" s="78" t="str">
        <f t="shared" si="4"/>
        <v>,vital_sign_unit</v>
      </c>
      <c r="Q26" s="78" t="str">
        <f t="shared" si="0"/>
        <v>TEXT</v>
      </c>
      <c r="R26" s="78" t="str">
        <f t="shared" si="1"/>
        <v/>
      </c>
      <c r="S26" s="78" t="str">
        <f t="shared" si="5"/>
        <v/>
      </c>
      <c r="T26" s="78" t="str">
        <f t="shared" si="6"/>
        <v>-- バイタルサインの単位</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milscm_2023_010.azn_202310_backup_merge_mml_fs_item.vital_sign_unit IS 'バイタルサインの単位';</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200-000000000000}"/>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D31EB-F828-4201-8021-99A4F50BBE15}">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11</v>
      </c>
      <c r="E4" s="215"/>
      <c r="F4" s="215"/>
      <c r="G4" s="215"/>
      <c r="H4" s="215"/>
      <c r="I4" s="215"/>
      <c r="J4" s="216"/>
    </row>
    <row r="5" spans="1:45">
      <c r="B5" s="228" t="s">
        <v>3755</v>
      </c>
      <c r="C5" s="229"/>
      <c r="D5" s="238" t="str">
        <f>VLOOKUP(D7,エンティティ一覧!A1:'エンティティ一覧'!AM10142,7,FALSE)</f>
        <v>enroll</v>
      </c>
      <c r="E5" s="239"/>
      <c r="F5" s="239"/>
      <c r="G5" s="239"/>
      <c r="H5" s="239"/>
      <c r="I5" s="239"/>
      <c r="J5" s="240"/>
    </row>
    <row r="6" spans="1:45">
      <c r="B6" s="228" t="s">
        <v>3756</v>
      </c>
      <c r="C6" s="229"/>
      <c r="D6" s="238" t="str">
        <f>VLOOKUP(D7,エンティティ一覧!A1:'エンティティ一覧'!AM10142,15,FALSE)</f>
        <v>ENT_11_01</v>
      </c>
      <c r="E6" s="239"/>
      <c r="F6" s="239"/>
      <c r="G6" s="239"/>
      <c r="H6" s="239"/>
      <c r="I6" s="239"/>
      <c r="J6" s="240"/>
    </row>
    <row r="7" spans="1:45">
      <c r="B7" s="228" t="s">
        <v>115</v>
      </c>
      <c r="C7" s="229"/>
      <c r="D7" s="230" t="s">
        <v>3840</v>
      </c>
      <c r="E7" s="231"/>
      <c r="F7" s="231"/>
      <c r="G7" s="231"/>
      <c r="H7" s="231"/>
      <c r="I7" s="231"/>
      <c r="J7" s="232"/>
    </row>
    <row r="8" spans="1:45">
      <c r="B8" s="228" t="s">
        <v>116</v>
      </c>
      <c r="C8" s="229"/>
      <c r="D8" s="230" t="str">
        <f>エンティティ一覧!AE2&amp;"_"&amp;D5&amp;"_shisetsu"</f>
        <v>azn_202310_enroll_shisetsu</v>
      </c>
      <c r="E8" s="231"/>
      <c r="F8" s="231"/>
      <c r="G8" s="231"/>
      <c r="H8" s="231"/>
      <c r="I8" s="231"/>
      <c r="J8" s="232"/>
    </row>
    <row r="9" spans="1:45" ht="19.5" customHeight="1" thickBot="1">
      <c r="B9" s="233" t="s">
        <v>117</v>
      </c>
      <c r="C9" s="234"/>
      <c r="D9" s="235" t="s">
        <v>898</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milscm_2023_010.azn_202310_enroll_shisetsu;</v>
      </c>
      <c r="O10" s="78"/>
      <c r="P10" s="78"/>
      <c r="Q10" s="78"/>
      <c r="R10" s="78"/>
      <c r="S10" s="78"/>
      <c r="T10" s="78"/>
      <c r="AJ10" s="78" t="str">
        <f>"ALTER TABLE ONLY "&amp;エンティティ一覧!$O$2&amp;"."&amp;D$8</f>
        <v>ALTER TABLE ONLY milscm_2023_010.azn_202310_enroll_shisetsu</v>
      </c>
      <c r="AS10" s="78" t="str">
        <f>"ALTER TABLE "&amp;エンティティ一覧!$O$2&amp;"."&amp;D$8&amp;" OWNER TO pgmisgrp1;"</f>
        <v>ALTER TABLE milscm_2023_010.azn_202310_enroll_shisetsu OWNER TO pgmisgrp1;</v>
      </c>
    </row>
    <row r="11" spans="1:45" ht="19.5" thickBot="1">
      <c r="B11" s="20" t="s">
        <v>118</v>
      </c>
      <c r="C11" s="19"/>
      <c r="D11" s="5"/>
      <c r="E11" s="5"/>
      <c r="F11" s="5"/>
      <c r="G11" s="5"/>
      <c r="H11" s="5"/>
      <c r="I11" s="5"/>
      <c r="J11" s="18"/>
      <c r="N11" s="78" t="str">
        <f>"CREATE TABLE  "&amp;エンティティ一覧!$O$2&amp;"."&amp;D$8</f>
        <v>CREATE TABLE  milscm_2023_010.azn_202310_enroll_shisetsu</v>
      </c>
      <c r="O11" s="78"/>
      <c r="P11" s="78"/>
      <c r="Q11" s="78"/>
      <c r="R11" s="78"/>
      <c r="S11" s="78"/>
      <c r="T11" s="78"/>
      <c r="AJ11" s="78" t="str">
        <f>"ADD CONSTRAINT "&amp;D$8&amp;"_pkey PRIMARY KEY"</f>
        <v>ADD CONSTRAINT azn_202310_enroll_shisetsu_pkey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milscm_2023_010.azn_202310_enroll_shisetsu IS '組入れ_対象施設';</v>
      </c>
    </row>
    <row r="13" spans="1:45" s="25" customFormat="1">
      <c r="A13" s="4"/>
      <c r="B13" s="21">
        <f>ROW()-12</f>
        <v>1</v>
      </c>
      <c r="C13" s="13" t="s">
        <v>137</v>
      </c>
      <c r="D13" s="13" t="s">
        <v>128</v>
      </c>
      <c r="E13" s="7" t="s">
        <v>127</v>
      </c>
      <c r="F13" s="7" t="s">
        <v>3844</v>
      </c>
      <c r="G13" s="7" t="str">
        <f>IF(F13="フラグ","boolean",IF(F13="文字列","text",IF(F13="整数","integer",IF(F13="実数","numeric",""))))</f>
        <v>text</v>
      </c>
      <c r="H13" s="9"/>
      <c r="I13" s="10" t="s">
        <v>127</v>
      </c>
      <c r="J13" s="24"/>
      <c r="M13" s="4"/>
      <c r="N13" s="78"/>
      <c r="O13" s="78"/>
      <c r="P13" s="78" t="str">
        <f>IF(B13&lt;&gt;1,","&amp;D13,D13)</f>
        <v>facility_id</v>
      </c>
      <c r="Q13" s="78" t="str">
        <f t="shared" ref="Q13" si="0">UPPER(G13)</f>
        <v>TEXT</v>
      </c>
      <c r="R13" s="78" t="str">
        <f t="shared" ref="R13"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IF(E13="○",IF(COUNTA(E13:E$16)=1,"",",")&amp;D13,"")</f>
        <v>facility_id</v>
      </c>
      <c r="AK13" s="4"/>
      <c r="AL13" s="4"/>
      <c r="AM13" s="4"/>
      <c r="AN13" s="4"/>
      <c r="AO13" s="4"/>
      <c r="AP13" s="4"/>
      <c r="AQ13" s="4"/>
      <c r="AR13" s="4"/>
      <c r="AS13" s="78" t="str">
        <f>"COMMENT ON COLUMN "&amp;エンティティ一覧!$O$2&amp;"."&amp;D$8&amp;"."&amp;D13&amp;" IS '"&amp;C13&amp;"';"</f>
        <v>COMMENT ON COLUMN milscm_2023_010.azn_202310_enroll_shisetsu.facility_id IS '施設ID';</v>
      </c>
    </row>
    <row r="14" spans="1:45" s="25" customFormat="1">
      <c r="A14" s="4"/>
      <c r="B14" s="21">
        <f>ROW()-12</f>
        <v>2</v>
      </c>
      <c r="C14" s="13" t="s">
        <v>2447</v>
      </c>
      <c r="D14" s="13" t="s">
        <v>2448</v>
      </c>
      <c r="E14" s="7"/>
      <c r="F14" s="7" t="s">
        <v>3845</v>
      </c>
      <c r="G14" s="7" t="str">
        <f>IF(F14="フラグ","boolean",IF(F14="文字列","text",IF(F14="整数","integer",IF(F14="実数","numeric",""))))</f>
        <v>text</v>
      </c>
      <c r="H14" s="9"/>
      <c r="I14" s="10"/>
      <c r="J14" s="24"/>
      <c r="M14" s="4"/>
      <c r="N14" s="78"/>
      <c r="O14" s="78"/>
      <c r="P14" s="78" t="str">
        <f>IF(B14&lt;&gt;1,","&amp;D14,D14)</f>
        <v>,facility_id_mml</v>
      </c>
      <c r="Q14" s="78" t="str">
        <f t="shared" ref="Q14:Q15" si="2">UPPER(G14)</f>
        <v>TEXT</v>
      </c>
      <c r="R14" s="78" t="str">
        <f t="shared" ref="R14:R15" si="3">IF(H14&lt;&gt;"","default "&amp;IF(G14="text","'"&amp;H14&amp;"'",H14),"")</f>
        <v/>
      </c>
      <c r="S14" s="78" t="str">
        <f>IF(I14="○","NOT NULL","")</f>
        <v/>
      </c>
      <c r="T14" s="78" t="str">
        <f>"-- "&amp;C14</f>
        <v>-- 施設ID（MML）</v>
      </c>
      <c r="U14" s="4"/>
      <c r="AA14" s="4"/>
      <c r="AB14" s="4"/>
      <c r="AC14" s="4"/>
      <c r="AD14" s="4"/>
      <c r="AE14" s="4"/>
      <c r="AF14" s="4"/>
      <c r="AG14" s="4"/>
      <c r="AH14" s="4"/>
      <c r="AI14" s="4"/>
      <c r="AJ14" s="78" t="str">
        <f>IF(E14="○",IF(COUNTA(E14:E$16)=1,"",",")&amp;D14,"")</f>
        <v/>
      </c>
      <c r="AK14" s="4"/>
      <c r="AL14" s="4"/>
      <c r="AM14" s="4"/>
      <c r="AN14" s="4"/>
      <c r="AO14" s="4"/>
      <c r="AP14" s="4"/>
      <c r="AQ14" s="4"/>
      <c r="AR14" s="4"/>
      <c r="AS14" s="78" t="str">
        <f>"COMMENT ON COLUMN "&amp;エンティティ一覧!$O$2&amp;"."&amp;D$8&amp;"."&amp;D14&amp;" IS '"&amp;C14&amp;"';"</f>
        <v>COMMENT ON COLUMN milscm_2023_010.azn_202310_enroll_shisetsu.facility_id_mml IS '施設ID（MML）';</v>
      </c>
    </row>
    <row r="15" spans="1:45" s="25" customFormat="1">
      <c r="A15" s="4"/>
      <c r="B15" s="21">
        <f t="shared" ref="B15:B18" si="4">ROW()-12</f>
        <v>3</v>
      </c>
      <c r="C15" s="6" t="s">
        <v>3846</v>
      </c>
      <c r="D15" s="6" t="s">
        <v>2450</v>
      </c>
      <c r="E15" s="8"/>
      <c r="F15" s="7" t="s">
        <v>3847</v>
      </c>
      <c r="G15" s="7" t="str">
        <f t="shared" ref="G15" si="5">IF(F15="フラグ","boolean",IF(F15="文字列","text",IF(F15="整数","integer",IF(F15="実数","numeric",""))))</f>
        <v>text</v>
      </c>
      <c r="H15" s="58"/>
      <c r="I15" s="23" t="s">
        <v>127</v>
      </c>
      <c r="J15" s="24"/>
      <c r="M15" s="4"/>
      <c r="N15" s="78"/>
      <c r="O15" s="78"/>
      <c r="P15" s="78" t="str">
        <f t="shared" ref="P15" si="6">IF(B15&lt;&gt;1,","&amp;D15,D15)</f>
        <v>,facility_name</v>
      </c>
      <c r="Q15" s="78" t="str">
        <f t="shared" si="2"/>
        <v>TEXT</v>
      </c>
      <c r="R15" s="78" t="str">
        <f t="shared" si="3"/>
        <v/>
      </c>
      <c r="S15" s="78" t="str">
        <f>IF(I15="○","NOT NULL","")</f>
        <v>NOT NULL</v>
      </c>
      <c r="T15" s="78" t="str">
        <f>"-- "&amp;C15</f>
        <v>-- 施設名</v>
      </c>
      <c r="U15" s="4"/>
      <c r="AA15" s="4"/>
      <c r="AB15" s="4"/>
      <c r="AC15" s="4"/>
      <c r="AD15" s="4"/>
      <c r="AE15" s="4"/>
      <c r="AF15" s="4"/>
      <c r="AG15" s="4"/>
      <c r="AH15" s="4"/>
      <c r="AI15" s="4"/>
      <c r="AJ15" s="78" t="str">
        <f>IF(E15="○",IF(COUNTA(E15:E$16)=1,"",",")&amp;D15,"")</f>
        <v/>
      </c>
      <c r="AK15" s="4"/>
      <c r="AL15" s="4"/>
      <c r="AM15" s="4"/>
      <c r="AN15" s="4"/>
      <c r="AO15" s="4"/>
      <c r="AP15" s="4"/>
      <c r="AQ15" s="4"/>
      <c r="AR15" s="4"/>
      <c r="AS15" s="78" t="str">
        <f>"COMMENT ON COLUMN "&amp;エンティティ一覧!$O$2&amp;"."&amp;D$8&amp;"."&amp;D15&amp;" IS '"&amp;C15&amp;"';"</f>
        <v>COMMENT ON COLUMN milscm_2023_010.azn_202310_enroll_shisetsu.facility_name IS '施設名';</v>
      </c>
    </row>
    <row r="16" spans="1:45" s="25" customFormat="1">
      <c r="A16" s="4"/>
      <c r="B16" s="21">
        <f>ROW()-12</f>
        <v>4</v>
      </c>
      <c r="C16" s="13" t="s">
        <v>3848</v>
      </c>
      <c r="D16" s="13" t="s">
        <v>2456</v>
      </c>
      <c r="E16" s="7"/>
      <c r="F16" s="7" t="s">
        <v>3845</v>
      </c>
      <c r="G16" s="7" t="str">
        <f>IF(F16="フラグ","boolean",IF(F16="文字列","text",IF(F16="整数","integer",IF(F16="実数","numeric",""))))</f>
        <v>text</v>
      </c>
      <c r="H16" s="9"/>
      <c r="I16" s="10"/>
      <c r="J16" s="24"/>
      <c r="M16" s="4"/>
      <c r="N16" s="78"/>
      <c r="O16" s="78"/>
      <c r="P16" s="78" t="str">
        <f>IF(B16&lt;&gt;1,","&amp;D16,D16)</f>
        <v>,facility_contract_start</v>
      </c>
      <c r="Q16" s="78" t="str">
        <f t="shared" ref="Q16:Q18" si="7">UPPER(G16)</f>
        <v>TEXT</v>
      </c>
      <c r="R16" s="78" t="str">
        <f t="shared" ref="R16:R18" si="8">IF(H16&lt;&gt;"","default "&amp;IF(G16="text","'"&amp;H16&amp;"'",H16),"")</f>
        <v/>
      </c>
      <c r="S16" s="78" t="str">
        <f>IF(I16="○","NOT NULL","")</f>
        <v/>
      </c>
      <c r="T16" s="78" t="str">
        <f>"-- "&amp;C16</f>
        <v>-- 施設データ提供開始日</v>
      </c>
      <c r="U16" s="4"/>
      <c r="AA16" s="4"/>
      <c r="AB16" s="4"/>
      <c r="AC16" s="4"/>
      <c r="AD16" s="4"/>
      <c r="AE16" s="4"/>
      <c r="AF16" s="4"/>
      <c r="AG16" s="4"/>
      <c r="AH16" s="4"/>
      <c r="AI16" s="4"/>
      <c r="AJ16" s="78" t="str">
        <f>IF(E16="○",IF(COUNTA(E$16:E16)=1,"",",")&amp;D16,"")</f>
        <v/>
      </c>
      <c r="AK16" s="4"/>
      <c r="AL16" s="4"/>
      <c r="AM16" s="4"/>
      <c r="AN16" s="4"/>
      <c r="AO16" s="4"/>
      <c r="AP16" s="4"/>
      <c r="AQ16" s="4"/>
      <c r="AR16" s="4"/>
      <c r="AS16" s="78" t="str">
        <f>"COMMENT ON COLUMN "&amp;エンティティ一覧!$O$2&amp;"."&amp;D$8&amp;"."&amp;D16&amp;" IS '"&amp;C16&amp;"';"</f>
        <v>COMMENT ON COLUMN milscm_2023_010.azn_202310_enroll_shisetsu.facility_contract_start IS '施設データ提供開始日';</v>
      </c>
    </row>
    <row r="17" spans="1:52" s="25" customFormat="1">
      <c r="A17" s="4"/>
      <c r="B17" s="21">
        <f t="shared" si="4"/>
        <v>5</v>
      </c>
      <c r="C17" s="6" t="s">
        <v>3849</v>
      </c>
      <c r="D17" s="6" t="s">
        <v>2458</v>
      </c>
      <c r="E17" s="8"/>
      <c r="F17" s="7" t="s">
        <v>3845</v>
      </c>
      <c r="G17" s="7" t="str">
        <f t="shared" ref="G17:G18" si="9">IF(F17="フラグ","boolean",IF(F17="文字列","text",IF(F17="整数","integer",IF(F17="実数","numeric",""))))</f>
        <v>text</v>
      </c>
      <c r="H17" s="58"/>
      <c r="I17" s="23"/>
      <c r="J17" s="24"/>
      <c r="M17" s="4"/>
      <c r="N17" s="78"/>
      <c r="O17" s="78"/>
      <c r="P17" s="78" t="str">
        <f t="shared" ref="P17:P18" si="10">IF(B17&lt;&gt;1,","&amp;D17,D17)</f>
        <v>,facility_contract_end</v>
      </c>
      <c r="Q17" s="78" t="str">
        <f t="shared" si="7"/>
        <v>TEXT</v>
      </c>
      <c r="R17" s="78" t="str">
        <f t="shared" si="8"/>
        <v/>
      </c>
      <c r="S17" s="78" t="str">
        <f>IF(I17="○","NOT NULL","")</f>
        <v/>
      </c>
      <c r="T17" s="78" t="str">
        <f>"-- "&amp;C17</f>
        <v>-- 施設データ提供終了日</v>
      </c>
      <c r="U17" s="4"/>
      <c r="AA17" s="4"/>
      <c r="AB17" s="4"/>
      <c r="AC17" s="4"/>
      <c r="AD17" s="4"/>
      <c r="AE17" s="4"/>
      <c r="AF17" s="4"/>
      <c r="AG17" s="4"/>
      <c r="AH17" s="4"/>
      <c r="AI17" s="4"/>
      <c r="AJ17" s="78" t="str">
        <f>IF(E17="○",IF(COUNTA(E$16:E17)=1,"",",")&amp;D17,"")</f>
        <v/>
      </c>
      <c r="AK17" s="4"/>
      <c r="AL17" s="4"/>
      <c r="AM17" s="4"/>
      <c r="AN17" s="4"/>
      <c r="AO17" s="4"/>
      <c r="AP17" s="4"/>
      <c r="AQ17" s="4"/>
      <c r="AR17" s="4"/>
      <c r="AS17" s="78" t="str">
        <f>"COMMENT ON COLUMN "&amp;エンティティ一覧!$O$2&amp;"."&amp;D$8&amp;"."&amp;D17&amp;" IS '"&amp;C17&amp;"';"</f>
        <v>COMMENT ON COLUMN milscm_2023_010.azn_202310_enroll_shisetsu.facility_contract_end IS '施設データ提供終了日';</v>
      </c>
    </row>
    <row r="18" spans="1:52" s="25" customFormat="1" ht="19.5" thickBot="1">
      <c r="A18" s="4"/>
      <c r="B18" s="70">
        <f t="shared" si="4"/>
        <v>6</v>
      </c>
      <c r="C18" s="71" t="s">
        <v>3850</v>
      </c>
      <c r="D18" s="71" t="s">
        <v>2460</v>
      </c>
      <c r="E18" s="74"/>
      <c r="F18" s="72" t="s">
        <v>205</v>
      </c>
      <c r="G18" s="72" t="str">
        <f t="shared" si="9"/>
        <v>integer</v>
      </c>
      <c r="H18" s="73"/>
      <c r="I18" s="74"/>
      <c r="J18" s="75"/>
      <c r="M18" s="4"/>
      <c r="N18" s="78"/>
      <c r="O18" s="78"/>
      <c r="P18" s="78" t="str">
        <f t="shared" si="10"/>
        <v>,size</v>
      </c>
      <c r="Q18" s="78" t="str">
        <f t="shared" si="7"/>
        <v>INTEGER</v>
      </c>
      <c r="R18" s="78" t="str">
        <f t="shared" si="8"/>
        <v/>
      </c>
      <c r="S18" s="78" t="str">
        <f>IF(I18="○","NOT NULL","")</f>
        <v/>
      </c>
      <c r="T18" s="78" t="str">
        <f>"-- "&amp;C18</f>
        <v>-- 施設規模</v>
      </c>
      <c r="U18" s="4"/>
      <c r="AA18" s="4"/>
      <c r="AB18" s="4"/>
      <c r="AC18" s="4"/>
      <c r="AD18" s="4"/>
      <c r="AE18" s="4"/>
      <c r="AF18" s="4"/>
      <c r="AG18" s="4"/>
      <c r="AH18" s="4"/>
      <c r="AI18" s="4"/>
      <c r="AJ18" s="78" t="str">
        <f>IF(E18="○",IF(COUNTA(E$16:E18)=1,"",",")&amp;D18,"")</f>
        <v/>
      </c>
      <c r="AK18" s="4"/>
      <c r="AL18" s="4"/>
      <c r="AM18" s="4"/>
      <c r="AN18" s="4"/>
      <c r="AO18" s="4"/>
      <c r="AP18" s="4"/>
      <c r="AQ18" s="4"/>
      <c r="AR18" s="4"/>
      <c r="AS18" s="78" t="str">
        <f>"COMMENT ON COLUMN "&amp;エンティティ一覧!$O$2&amp;"."&amp;D$8&amp;"."&amp;D18&amp;" IS '"&amp;C18&amp;"';"</f>
        <v>COMMENT ON COLUMN milscm_2023_010.azn_202310_enroll_shisetsu.size IS '施設規模';</v>
      </c>
    </row>
    <row r="19" spans="1:52">
      <c r="L19" s="25"/>
      <c r="N19" s="78" t="s">
        <v>142</v>
      </c>
      <c r="O19" s="78"/>
      <c r="P19" s="78"/>
      <c r="Q19" s="78"/>
      <c r="R19" s="78"/>
      <c r="S19" s="78"/>
      <c r="T19" s="78"/>
      <c r="V19" s="25"/>
      <c r="W19" s="25"/>
      <c r="X19" s="25"/>
      <c r="Y19" s="25"/>
      <c r="Z19" s="25"/>
      <c r="AJ19" s="78"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1:C2"/>
    <mergeCell ref="D1:G1"/>
    <mergeCell ref="H1:I1"/>
    <mergeCell ref="D2:G2"/>
    <mergeCell ref="H2:I2"/>
    <mergeCell ref="B4:C4"/>
    <mergeCell ref="D4:J4"/>
  </mergeCells>
  <phoneticPr fontId="8"/>
  <hyperlinks>
    <hyperlink ref="A1" location="エンティティ一覧!A1" display="エンティティ一覧" xr:uid="{546EBFCB-2709-4564-91F3-A35FE4EAD669}"/>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11</v>
      </c>
      <c r="E4" s="215"/>
      <c r="F4" s="215"/>
      <c r="G4" s="215"/>
      <c r="H4" s="215"/>
      <c r="I4" s="215"/>
      <c r="J4" s="216"/>
    </row>
    <row r="5" spans="1:45">
      <c r="B5" s="228" t="s">
        <v>3755</v>
      </c>
      <c r="C5" s="229"/>
      <c r="D5" s="238" t="str">
        <f>VLOOKUP(D7,エンティティ一覧!A1:'エンティティ一覧'!AM10142,7,FALSE)</f>
        <v>enroll</v>
      </c>
      <c r="E5" s="239"/>
      <c r="F5" s="239"/>
      <c r="G5" s="239"/>
      <c r="H5" s="239"/>
      <c r="I5" s="239"/>
      <c r="J5" s="240"/>
    </row>
    <row r="6" spans="1:45">
      <c r="B6" s="228" t="s">
        <v>3756</v>
      </c>
      <c r="C6" s="229"/>
      <c r="D6" s="238" t="str">
        <f>VLOOKUP(D7,エンティティ一覧!A1:'エンティティ一覧'!AM10142,15,FALSE)</f>
        <v>ENT_11_02</v>
      </c>
      <c r="E6" s="239"/>
      <c r="F6" s="239"/>
      <c r="G6" s="239"/>
      <c r="H6" s="239"/>
      <c r="I6" s="239"/>
      <c r="J6" s="240"/>
    </row>
    <row r="7" spans="1:45">
      <c r="B7" s="228" t="s">
        <v>115</v>
      </c>
      <c r="C7" s="229"/>
      <c r="D7" s="230" t="s">
        <v>3841</v>
      </c>
      <c r="E7" s="231"/>
      <c r="F7" s="231"/>
      <c r="G7" s="231"/>
      <c r="H7" s="231"/>
      <c r="I7" s="231"/>
      <c r="J7" s="232"/>
    </row>
    <row r="8" spans="1:45">
      <c r="B8" s="228" t="s">
        <v>116</v>
      </c>
      <c r="C8" s="229"/>
      <c r="D8" s="230" t="str">
        <f>エンティティ一覧!AE2&amp;"_"&amp;D5&amp;"_shoho"</f>
        <v>azn_202310_enroll_shoho</v>
      </c>
      <c r="E8" s="231"/>
      <c r="F8" s="231"/>
      <c r="G8" s="231"/>
      <c r="H8" s="231"/>
      <c r="I8" s="231"/>
      <c r="J8" s="232"/>
    </row>
    <row r="9" spans="1:45" ht="19.5" customHeight="1" thickBot="1">
      <c r="B9" s="233" t="s">
        <v>117</v>
      </c>
      <c r="C9" s="234"/>
      <c r="D9" s="235"/>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milscm_2023_010.azn_202310_enroll_shoho;</v>
      </c>
      <c r="O10" s="78"/>
      <c r="P10" s="78"/>
      <c r="Q10" s="78"/>
      <c r="R10" s="78"/>
      <c r="S10" s="78"/>
      <c r="T10" s="78"/>
      <c r="AJ10" s="78" t="str">
        <f>"ALTER TABLE ONLY "&amp;エンティティ一覧!$O$2&amp;"."&amp;D$8</f>
        <v>ALTER TABLE ONLY milscm_2023_010.azn_202310_enroll_shoho</v>
      </c>
      <c r="AS10" s="78" t="str">
        <f>"ALTER TABLE "&amp;エンティティ一覧!$O$2&amp;"."&amp;D$8&amp;" OWNER TO pgmisgrp1;"</f>
        <v>ALTER TABLE milscm_2023_010.azn_202310_enroll_shoho OWNER TO pgmisgrp1;</v>
      </c>
    </row>
    <row r="11" spans="1:45" ht="19.5" thickBot="1">
      <c r="B11" s="20" t="s">
        <v>118</v>
      </c>
      <c r="C11" s="19"/>
      <c r="D11" s="5"/>
      <c r="E11" s="5"/>
      <c r="F11" s="5"/>
      <c r="G11" s="5"/>
      <c r="H11" s="5"/>
      <c r="I11" s="5"/>
      <c r="J11" s="18"/>
      <c r="N11" s="78" t="str">
        <f>"CREATE TABLE  "&amp;エンティティ一覧!$O$2&amp;"."&amp;D$8</f>
        <v>CREATE TABLE  milscm_2023_010.azn_202310_enroll_shoho</v>
      </c>
      <c r="O11" s="78"/>
      <c r="P11" s="78"/>
      <c r="Q11" s="78"/>
      <c r="R11" s="78"/>
      <c r="S11" s="78"/>
      <c r="T11" s="78"/>
      <c r="AJ11" s="78" t="str">
        <f>"ADD CONSTRAINT "&amp;D$8&amp;"_pkey PRIMARY KEY"</f>
        <v>ADD CONSTRAINT azn_202310_enroll_shoho_pkey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milscm_2023_010.azn_202310_enroll_shoho IS '組入れ_対象処方';</v>
      </c>
    </row>
    <row r="13" spans="1:45" s="25" customFormat="1">
      <c r="A13" s="4"/>
      <c r="B13" s="21">
        <f>ROW()-12</f>
        <v>1</v>
      </c>
      <c r="C13" s="13" t="s">
        <v>137</v>
      </c>
      <c r="D13" s="13" t="s">
        <v>128</v>
      </c>
      <c r="E13" s="7" t="s">
        <v>127</v>
      </c>
      <c r="F13" s="7" t="s">
        <v>202</v>
      </c>
      <c r="G13" s="7" t="str">
        <f>IF(F13="フラグ","boolean",IF(F13="文字列","text",IF(F13="整数","integer",IF(F13="実数","numeric",""))))</f>
        <v>text</v>
      </c>
      <c r="H13" s="9"/>
      <c r="I13" s="10" t="s">
        <v>127</v>
      </c>
      <c r="J13" s="24"/>
      <c r="M13" s="4"/>
      <c r="N13" s="78"/>
      <c r="O13" s="78"/>
      <c r="P13" s="78" t="str">
        <f>IF(B13&lt;&gt;1,","&amp;D13,D13)</f>
        <v>facility_id</v>
      </c>
      <c r="Q13" s="78" t="str">
        <f t="shared" ref="Q13" si="0">UPPER(G13)</f>
        <v>TEXT</v>
      </c>
      <c r="R13" s="78" t="str">
        <f t="shared" ref="R13"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IF(E13="○",IF(COUNTA(E13:E$15)=1,"",",")&amp;D13,"")</f>
        <v>,facility_id</v>
      </c>
      <c r="AK13" s="4"/>
      <c r="AL13" s="4"/>
      <c r="AM13" s="4"/>
      <c r="AN13" s="4"/>
      <c r="AO13" s="4"/>
      <c r="AP13" s="4"/>
      <c r="AQ13" s="4"/>
      <c r="AR13" s="4"/>
      <c r="AS13" s="78" t="str">
        <f>"COMMENT ON COLUMN "&amp;エンティティ一覧!$O$2&amp;"."&amp;D$8&amp;"."&amp;D13&amp;" IS '"&amp;C13&amp;"';"</f>
        <v>COMMENT ON COLUMN milscm_2023_010.azn_202310_enroll_shoho.facility_id IS '施設ID';</v>
      </c>
    </row>
    <row r="14" spans="1:45" s="25" customFormat="1">
      <c r="A14" s="4"/>
      <c r="B14" s="21">
        <f>ROW()-12</f>
        <v>2</v>
      </c>
      <c r="C14" s="13" t="s">
        <v>210</v>
      </c>
      <c r="D14" s="13" t="s">
        <v>211</v>
      </c>
      <c r="E14" s="7" t="s">
        <v>127</v>
      </c>
      <c r="F14" s="7" t="s">
        <v>202</v>
      </c>
      <c r="G14" s="7" t="str">
        <f>IF(F14="フラグ","boolean",IF(F14="文字列","text",IF(F14="整数","integer",IF(F14="実数","numeric",""))))</f>
        <v>text</v>
      </c>
      <c r="H14" s="9"/>
      <c r="I14" s="10" t="s">
        <v>127</v>
      </c>
      <c r="J14" s="24"/>
      <c r="M14" s="4"/>
      <c r="N14" s="78"/>
      <c r="O14" s="78"/>
      <c r="P14" s="78" t="str">
        <f>IF(B14&lt;&gt;1,","&amp;D14,D14)</f>
        <v>,shikibetsu_no</v>
      </c>
      <c r="Q14" s="78" t="str">
        <f t="shared" ref="Q14" si="2">UPPER(G14)</f>
        <v>TEXT</v>
      </c>
      <c r="R14" s="78" t="str">
        <f t="shared" ref="R14" si="3">IF(H14&lt;&gt;"","default "&amp;IF(G14="text","'"&amp;H14&amp;"'",H14),"")</f>
        <v/>
      </c>
      <c r="S14" s="78" t="str">
        <f>IF(I14="○","NOT NULL","")</f>
        <v>NOT NULL</v>
      </c>
      <c r="T14" s="78" t="str">
        <f>"-- "&amp;C14</f>
        <v>-- データ識別番号</v>
      </c>
      <c r="U14" s="4"/>
      <c r="AA14" s="4"/>
      <c r="AB14" s="4"/>
      <c r="AC14" s="4"/>
      <c r="AD14" s="4"/>
      <c r="AE14" s="4"/>
      <c r="AF14" s="4"/>
      <c r="AG14" s="4"/>
      <c r="AH14" s="4"/>
      <c r="AI14" s="4"/>
      <c r="AJ14" s="78" t="str">
        <f>IF(E14="○",IF(COUNTA(E14:E$15)=1,"",",")&amp;D14,"")</f>
        <v>,shikibetsu_no</v>
      </c>
      <c r="AK14" s="4"/>
      <c r="AL14" s="4"/>
      <c r="AM14" s="4"/>
      <c r="AN14" s="4"/>
      <c r="AO14" s="4"/>
      <c r="AP14" s="4"/>
      <c r="AQ14" s="4"/>
      <c r="AR14" s="4"/>
      <c r="AS14" s="78" t="str">
        <f>"COMMENT ON COLUMN "&amp;エンティティ一覧!$O$2&amp;"."&amp;D$8&amp;"."&amp;D14&amp;" IS '"&amp;C14&amp;"';"</f>
        <v>COMMENT ON COLUMN milscm_2023_010.azn_202310_enroll_shoho.shikibetsu_no IS 'データ識別番号';</v>
      </c>
    </row>
    <row r="15" spans="1:45" s="25" customFormat="1">
      <c r="A15" s="4"/>
      <c r="B15" s="21">
        <f>ROW()-12</f>
        <v>3</v>
      </c>
      <c r="C15" s="13" t="s">
        <v>145</v>
      </c>
      <c r="D15" s="13" t="s">
        <v>154</v>
      </c>
      <c r="E15" s="7" t="s">
        <v>127</v>
      </c>
      <c r="F15" s="7" t="s">
        <v>202</v>
      </c>
      <c r="G15" s="7" t="str">
        <f>IF(F15="フラグ","boolean",IF(F15="文字列","text",IF(F15="整数","integer",IF(F15="実数","numeric",""))))</f>
        <v>text</v>
      </c>
      <c r="H15" s="9"/>
      <c r="I15" s="10" t="s">
        <v>127</v>
      </c>
      <c r="J15" s="24"/>
      <c r="M15" s="4"/>
      <c r="N15" s="78"/>
      <c r="O15" s="78"/>
      <c r="P15" s="78" t="str">
        <f>IF(B15&lt;&gt;1,","&amp;D15,D15)</f>
        <v>,receipt_densan_code</v>
      </c>
      <c r="Q15" s="78" t="str">
        <f t="shared" ref="Q15:Q16" si="4">UPPER(G15)</f>
        <v>TEXT</v>
      </c>
      <c r="R15" s="78" t="str">
        <f t="shared" ref="R15:R16" si="5">IF(H15&lt;&gt;"","default "&amp;IF(G15="text","'"&amp;H15&amp;"'",H15),"")</f>
        <v/>
      </c>
      <c r="S15" s="78" t="str">
        <f>IF(I15="○","NOT NULL","")</f>
        <v>NOT NULL</v>
      </c>
      <c r="T15" s="78" t="str">
        <f>"-- "&amp;C15</f>
        <v>-- レセプト電算処理システム用コード</v>
      </c>
      <c r="U15" s="4"/>
      <c r="AA15" s="4"/>
      <c r="AB15" s="4"/>
      <c r="AC15" s="4"/>
      <c r="AD15" s="4"/>
      <c r="AE15" s="4"/>
      <c r="AF15" s="4"/>
      <c r="AG15" s="4"/>
      <c r="AH15" s="4"/>
      <c r="AI15" s="4"/>
      <c r="AJ15" s="78" t="str">
        <f>IF(E15="○",IF(COUNTA(E$15:E15)=1,"",",")&amp;D15,"")</f>
        <v>receipt_densan_code</v>
      </c>
      <c r="AK15" s="4"/>
      <c r="AL15" s="4"/>
      <c r="AM15" s="4"/>
      <c r="AN15" s="4"/>
      <c r="AO15" s="4"/>
      <c r="AP15" s="4"/>
      <c r="AQ15" s="4"/>
      <c r="AR15" s="4"/>
      <c r="AS15" s="78" t="str">
        <f>"COMMENT ON COLUMN "&amp;エンティティ一覧!$O$2&amp;"."&amp;D$8&amp;"."&amp;D15&amp;" IS '"&amp;C15&amp;"';"</f>
        <v>COMMENT ON COLUMN milscm_2023_010.azn_202310_enroll_shoho.receipt_densan_code IS 'レセプト電算処理システム用コード';</v>
      </c>
    </row>
    <row r="16" spans="1:45" s="25" customFormat="1" ht="19.5" thickBot="1">
      <c r="A16" s="4"/>
      <c r="B16" s="66">
        <f t="shared" ref="B16" si="6">ROW()-12</f>
        <v>4</v>
      </c>
      <c r="C16" s="28" t="s">
        <v>1796</v>
      </c>
      <c r="D16" s="28" t="s">
        <v>155</v>
      </c>
      <c r="E16" s="29" t="s">
        <v>127</v>
      </c>
      <c r="F16" s="56" t="s">
        <v>318</v>
      </c>
      <c r="G16" s="56" t="str">
        <f t="shared" ref="G16" si="7">IF(F16="フラグ","boolean",IF(F16="文字列","text",IF(F16="整数","integer",IF(F16="実数","numeric",""))))</f>
        <v>text</v>
      </c>
      <c r="H16" s="59"/>
      <c r="I16" s="60" t="s">
        <v>127</v>
      </c>
      <c r="J16" s="61"/>
      <c r="M16" s="4"/>
      <c r="N16" s="78"/>
      <c r="O16" s="78"/>
      <c r="P16" s="78" t="str">
        <f t="shared" ref="P16" si="8">IF(B16&lt;&gt;1,","&amp;D16,D16)</f>
        <v>,jisshi_ymd</v>
      </c>
      <c r="Q16" s="78" t="str">
        <f t="shared" si="4"/>
        <v>TEXT</v>
      </c>
      <c r="R16" s="78" t="str">
        <f t="shared" si="5"/>
        <v/>
      </c>
      <c r="S16" s="78" t="str">
        <f>IF(I16="○","NOT NULL","")</f>
        <v>NOT NULL</v>
      </c>
      <c r="T16" s="78" t="str">
        <f>"-- "&amp;C16</f>
        <v>-- 実施年月日</v>
      </c>
      <c r="U16" s="4"/>
      <c r="AA16" s="4"/>
      <c r="AB16" s="4"/>
      <c r="AC16" s="4"/>
      <c r="AD16" s="4"/>
      <c r="AE16" s="4"/>
      <c r="AF16" s="4"/>
      <c r="AG16" s="4"/>
      <c r="AH16" s="4"/>
      <c r="AI16" s="4"/>
      <c r="AJ16" s="78" t="str">
        <f>IF(E16="○",IF(COUNTA(E$15:E16)=1,"",",")&amp;D16,"")</f>
        <v>,jisshi_ymd</v>
      </c>
      <c r="AK16" s="4"/>
      <c r="AL16" s="4"/>
      <c r="AM16" s="4"/>
      <c r="AN16" s="4"/>
      <c r="AO16" s="4"/>
      <c r="AP16" s="4"/>
      <c r="AQ16" s="4"/>
      <c r="AR16" s="4"/>
      <c r="AS16" s="78" t="str">
        <f>"COMMENT ON COLUMN "&amp;エンティティ一覧!$O$2&amp;"."&amp;D$8&amp;"."&amp;D16&amp;" IS '"&amp;C16&amp;"';"</f>
        <v>COMMENT ON COLUMN milscm_2023_010.azn_202310_enroll_shoho.jisshi_ymd IS '実施年月日';</v>
      </c>
    </row>
    <row r="17" spans="12:52">
      <c r="L17" s="25"/>
      <c r="N17" s="78" t="s">
        <v>142</v>
      </c>
      <c r="O17" s="78"/>
      <c r="P17" s="78"/>
      <c r="Q17" s="78"/>
      <c r="R17" s="78"/>
      <c r="S17" s="78"/>
      <c r="T17" s="78"/>
      <c r="V17" s="25"/>
      <c r="W17" s="25"/>
      <c r="X17" s="25"/>
      <c r="Y17" s="25"/>
      <c r="Z17" s="25"/>
      <c r="AJ17" s="78"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400-000000000000}"/>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7" t="s">
        <v>110</v>
      </c>
      <c r="C1" s="218"/>
      <c r="D1" s="221" t="s">
        <v>111</v>
      </c>
      <c r="E1" s="222"/>
      <c r="F1" s="222"/>
      <c r="G1" s="213"/>
      <c r="H1" s="221" t="s">
        <v>112</v>
      </c>
      <c r="I1" s="213"/>
      <c r="J1" s="15" t="s">
        <v>113</v>
      </c>
    </row>
    <row r="2" spans="1:52" ht="19.5" thickBot="1">
      <c r="B2" s="219"/>
      <c r="C2" s="220"/>
      <c r="D2" s="223" t="s">
        <v>114</v>
      </c>
      <c r="E2" s="224"/>
      <c r="F2" s="224"/>
      <c r="G2" s="225"/>
      <c r="H2" s="226"/>
      <c r="I2" s="227"/>
      <c r="J2" s="17"/>
    </row>
    <row r="3" spans="1:52" ht="19.5" thickBot="1">
      <c r="B3" s="5"/>
      <c r="C3" s="5"/>
      <c r="D3" s="5"/>
      <c r="E3" s="5"/>
      <c r="F3" s="5"/>
      <c r="G3" s="5"/>
      <c r="H3" s="5"/>
      <c r="I3" s="5"/>
      <c r="J3" s="18"/>
    </row>
    <row r="4" spans="1:52">
      <c r="B4" s="212" t="s">
        <v>3754</v>
      </c>
      <c r="C4" s="213"/>
      <c r="D4" s="214" t="str">
        <f>VLOOKUP(D7,エンティティ一覧!A1:'エンティティ一覧'!AM10142,2,FALSE)</f>
        <v>11</v>
      </c>
      <c r="E4" s="215"/>
      <c r="F4" s="215"/>
      <c r="G4" s="215"/>
      <c r="H4" s="215"/>
      <c r="I4" s="215"/>
      <c r="J4" s="216"/>
    </row>
    <row r="5" spans="1:52">
      <c r="B5" s="228" t="s">
        <v>3755</v>
      </c>
      <c r="C5" s="229"/>
      <c r="D5" s="238" t="str">
        <f>VLOOKUP(D7,エンティティ一覧!A1:'エンティティ一覧'!AM10142,7,FALSE)</f>
        <v>enroll</v>
      </c>
      <c r="E5" s="239"/>
      <c r="F5" s="239"/>
      <c r="G5" s="239"/>
      <c r="H5" s="239"/>
      <c r="I5" s="239"/>
      <c r="J5" s="240"/>
    </row>
    <row r="6" spans="1:52">
      <c r="B6" s="228" t="s">
        <v>3756</v>
      </c>
      <c r="C6" s="229"/>
      <c r="D6" s="238" t="str">
        <f>VLOOKUP(D7,エンティティ一覧!A1:'エンティティ一覧'!AM10142,15,FALSE)</f>
        <v>ENT_11_03</v>
      </c>
      <c r="E6" s="239"/>
      <c r="F6" s="239"/>
      <c r="G6" s="239"/>
      <c r="H6" s="239"/>
      <c r="I6" s="239"/>
      <c r="J6" s="240"/>
    </row>
    <row r="7" spans="1:52">
      <c r="B7" s="228" t="s">
        <v>115</v>
      </c>
      <c r="C7" s="229"/>
      <c r="D7" s="230" t="s">
        <v>305</v>
      </c>
      <c r="E7" s="231"/>
      <c r="F7" s="231"/>
      <c r="G7" s="231"/>
      <c r="H7" s="231"/>
      <c r="I7" s="231"/>
      <c r="J7" s="232"/>
    </row>
    <row r="8" spans="1:52">
      <c r="B8" s="228" t="s">
        <v>116</v>
      </c>
      <c r="C8" s="229"/>
      <c r="D8" s="230" t="str">
        <f>エンティティ一覧!AE2&amp;"_"&amp;D5&amp;"_kanja"</f>
        <v>azn_202310_enroll_kanja</v>
      </c>
      <c r="E8" s="231"/>
      <c r="F8" s="231"/>
      <c r="G8" s="231"/>
      <c r="H8" s="231"/>
      <c r="I8" s="231"/>
      <c r="J8" s="232"/>
    </row>
    <row r="9" spans="1:52" ht="19.5" customHeight="1" thickBot="1">
      <c r="B9" s="233" t="s">
        <v>117</v>
      </c>
      <c r="C9" s="234"/>
      <c r="D9" s="235"/>
      <c r="E9" s="236"/>
      <c r="F9" s="236"/>
      <c r="G9" s="236"/>
      <c r="H9" s="236"/>
      <c r="I9" s="236"/>
      <c r="J9" s="237"/>
    </row>
    <row r="10" spans="1:52">
      <c r="B10" s="19"/>
      <c r="C10" s="19"/>
      <c r="D10" s="5"/>
      <c r="E10" s="5"/>
      <c r="F10" s="5"/>
      <c r="G10" s="5"/>
      <c r="H10" s="5"/>
      <c r="I10" s="5"/>
      <c r="J10" s="18"/>
      <c r="N10" s="78" t="str">
        <f>"--DROP TABLE  "&amp;エンティティ一覧!$O$2&amp;"."&amp;D$8&amp;";"</f>
        <v>--DROP TABLE  milscm_2023_010.azn_202310_enroll_kanja;</v>
      </c>
      <c r="O10" s="78"/>
      <c r="P10" s="78"/>
      <c r="Q10" s="78"/>
      <c r="R10" s="78"/>
      <c r="S10" s="78"/>
      <c r="T10" s="78"/>
      <c r="AJ10" s="78" t="str">
        <f>"ALTER TABLE ONLY "&amp;エンティティ一覧!$O$2&amp;"."&amp;D$8</f>
        <v>ALTER TABLE ONLY milscm_2023_010.azn_202310_enroll_kanja</v>
      </c>
      <c r="AS10" s="78" t="str">
        <f>"ALTER TABLE "&amp;エンティティ一覧!$O$2&amp;"."&amp;D$8&amp;" OWNER TO pgmisgrp1;"</f>
        <v>ALTER TABLE milscm_2023_010.azn_202310_enroll_kanja OWNER TO pgmisgrp1;</v>
      </c>
    </row>
    <row r="11" spans="1:52" ht="19.5" thickBot="1">
      <c r="B11" s="20" t="s">
        <v>118</v>
      </c>
      <c r="C11" s="19"/>
      <c r="D11" s="5"/>
      <c r="E11" s="5"/>
      <c r="F11" s="5"/>
      <c r="G11" s="5"/>
      <c r="H11" s="5"/>
      <c r="I11" s="5"/>
      <c r="J11" s="18"/>
      <c r="N11" s="78" t="str">
        <f>"CREATE TABLE  "&amp;エンティティ一覧!$O$2&amp;"."&amp;D$8</f>
        <v>CREATE TABLE  milscm_2023_010.azn_202310_enroll_kanja</v>
      </c>
      <c r="O11" s="78"/>
      <c r="P11" s="78"/>
      <c r="Q11" s="78"/>
      <c r="R11" s="78"/>
      <c r="S11" s="78"/>
      <c r="T11" s="78"/>
      <c r="AJ11" s="78" t="str">
        <f>"ADD CONSTRAINT "&amp;D$8&amp;"_pkey PRIMARY KEY"</f>
        <v>ADD CONSTRAINT azn_202310_enroll_kanja_pkey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milscm_2023_010.azn_202310_enroll_kanja IS '組入れ_対象患者';</v>
      </c>
    </row>
    <row r="13" spans="1:52" s="25" customFormat="1">
      <c r="A13" s="4"/>
      <c r="B13" s="21">
        <f>ROW()-12</f>
        <v>1</v>
      </c>
      <c r="C13" s="13" t="s">
        <v>137</v>
      </c>
      <c r="D13" s="13" t="s">
        <v>128</v>
      </c>
      <c r="E13" s="7" t="s">
        <v>127</v>
      </c>
      <c r="F13" s="7" t="s">
        <v>318</v>
      </c>
      <c r="G13" s="7" t="str">
        <f>IF(F13="フラグ","boolean",IF(F13="文字列","text",IF(F13="整数","integer",IF(F13="実数","numeric",""))))</f>
        <v>text</v>
      </c>
      <c r="H13" s="9"/>
      <c r="I13" s="10" t="s">
        <v>127</v>
      </c>
      <c r="J13" s="24"/>
      <c r="M13" s="4"/>
      <c r="N13" s="78"/>
      <c r="O13" s="78"/>
      <c r="P13" s="78" t="str">
        <f>IF(B13&lt;&gt;1,","&amp;D13,D13)</f>
        <v>facility_id</v>
      </c>
      <c r="Q13" s="78" t="str">
        <f t="shared" ref="Q13:Q14" si="0">UPPER(G13)</f>
        <v>TEXT</v>
      </c>
      <c r="R13" s="78" t="str">
        <f t="shared" ref="R13:R14"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milscm_2023_010.azn_202310_enroll_kanja.facility_id IS '施設ID';</v>
      </c>
    </row>
    <row r="14" spans="1:52" s="25" customFormat="1" ht="19.5" thickBot="1">
      <c r="A14" s="4"/>
      <c r="B14" s="70">
        <f t="shared" ref="B14" si="2">ROW()-12</f>
        <v>2</v>
      </c>
      <c r="C14" s="71" t="s">
        <v>321</v>
      </c>
      <c r="D14" s="71" t="s">
        <v>211</v>
      </c>
      <c r="E14" s="74" t="s">
        <v>127</v>
      </c>
      <c r="F14" s="72" t="s">
        <v>318</v>
      </c>
      <c r="G14" s="72" t="str">
        <f t="shared" ref="G14" si="3">IF(F14="フラグ","boolean",IF(F14="文字列","text",IF(F14="整数","integer",IF(F14="実数","numeric",""))))</f>
        <v>text</v>
      </c>
      <c r="H14" s="73"/>
      <c r="I14" s="74" t="s">
        <v>127</v>
      </c>
      <c r="J14" s="75"/>
      <c r="M14" s="4"/>
      <c r="N14" s="78"/>
      <c r="O14" s="78"/>
      <c r="P14" s="78" t="str">
        <f t="shared" ref="P14"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milscm_2023_010.azn_202310_enroll_kanja.shikibetsu_no IS 'データ識別番号';</v>
      </c>
    </row>
    <row r="15" spans="1:52">
      <c r="L15" s="25"/>
      <c r="N15" s="78" t="s">
        <v>142</v>
      </c>
      <c r="O15" s="78"/>
      <c r="P15" s="78"/>
      <c r="Q15" s="78"/>
      <c r="R15" s="78"/>
      <c r="S15" s="78"/>
      <c r="T15" s="78"/>
      <c r="V15" s="25"/>
      <c r="W15" s="25"/>
      <c r="X15" s="25"/>
      <c r="Y15" s="25"/>
      <c r="Z15" s="25"/>
      <c r="AJ15" s="78" t="s">
        <v>142</v>
      </c>
      <c r="AT15" s="25"/>
      <c r="AU15" s="25"/>
      <c r="AV15" s="25"/>
      <c r="AW15" s="25"/>
      <c r="AX15" s="25"/>
      <c r="AY15" s="25"/>
      <c r="AZ15" s="25"/>
    </row>
    <row r="16" spans="1:52">
      <c r="L16" s="25"/>
      <c r="M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300-000000000000}"/>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52">
      <c r="A1" s="16" t="s">
        <v>140</v>
      </c>
      <c r="B1" s="217" t="s">
        <v>110</v>
      </c>
      <c r="C1" s="218"/>
      <c r="D1" s="221" t="s">
        <v>111</v>
      </c>
      <c r="E1" s="222"/>
      <c r="F1" s="222"/>
      <c r="G1" s="213"/>
      <c r="H1" s="221" t="s">
        <v>112</v>
      </c>
      <c r="I1" s="213"/>
      <c r="J1" s="15" t="s">
        <v>113</v>
      </c>
    </row>
    <row r="2" spans="1:52" ht="19.5" thickBot="1">
      <c r="B2" s="219"/>
      <c r="C2" s="220"/>
      <c r="D2" s="223" t="s">
        <v>114</v>
      </c>
      <c r="E2" s="224"/>
      <c r="F2" s="224"/>
      <c r="G2" s="225"/>
      <c r="H2" s="226"/>
      <c r="I2" s="227"/>
      <c r="J2" s="17"/>
    </row>
    <row r="3" spans="1:52" ht="19.5" thickBot="1">
      <c r="B3" s="5"/>
      <c r="C3" s="5"/>
      <c r="D3" s="5"/>
      <c r="E3" s="5"/>
      <c r="F3" s="5"/>
      <c r="G3" s="5"/>
      <c r="H3" s="5"/>
      <c r="I3" s="5"/>
      <c r="J3" s="18"/>
    </row>
    <row r="4" spans="1:52">
      <c r="B4" s="212" t="s">
        <v>3754</v>
      </c>
      <c r="C4" s="213"/>
      <c r="D4" s="214" t="str">
        <f>VLOOKUP(D7,エンティティ一覧!A1:'エンティティ一覧'!AM10142,2,FALSE)</f>
        <v>21</v>
      </c>
      <c r="E4" s="215"/>
      <c r="F4" s="215"/>
      <c r="G4" s="215"/>
      <c r="H4" s="215"/>
      <c r="I4" s="215"/>
      <c r="J4" s="216"/>
    </row>
    <row r="5" spans="1:52">
      <c r="B5" s="228" t="s">
        <v>3755</v>
      </c>
      <c r="C5" s="229"/>
      <c r="D5" s="238" t="str">
        <f>VLOOKUP(D7,エンティティ一覧!A1:'エンティティ一覧'!AM10142,7,FALSE)</f>
        <v>mt</v>
      </c>
      <c r="E5" s="239"/>
      <c r="F5" s="239"/>
      <c r="G5" s="239"/>
      <c r="H5" s="239"/>
      <c r="I5" s="239"/>
      <c r="J5" s="240"/>
    </row>
    <row r="6" spans="1:52">
      <c r="B6" s="228" t="s">
        <v>3756</v>
      </c>
      <c r="C6" s="229"/>
      <c r="D6" s="238" t="str">
        <f>VLOOKUP(D7,エンティティ一覧!A1:'エンティティ一覧'!AM10142,15,FALSE)</f>
        <v>ENT_21_01</v>
      </c>
      <c r="E6" s="239"/>
      <c r="F6" s="239"/>
      <c r="G6" s="239"/>
      <c r="H6" s="239"/>
      <c r="I6" s="239"/>
      <c r="J6" s="240"/>
    </row>
    <row r="7" spans="1:52">
      <c r="B7" s="228" t="s">
        <v>115</v>
      </c>
      <c r="C7" s="229"/>
      <c r="D7" s="230" t="s">
        <v>307</v>
      </c>
      <c r="E7" s="231"/>
      <c r="F7" s="231"/>
      <c r="G7" s="231"/>
      <c r="H7" s="231"/>
      <c r="I7" s="231"/>
      <c r="J7" s="232"/>
    </row>
    <row r="8" spans="1:52">
      <c r="B8" s="228" t="s">
        <v>116</v>
      </c>
      <c r="C8" s="229"/>
      <c r="D8" s="230" t="str">
        <f>エンティティ一覧!AE2&amp;"_"&amp;D5&amp;"_kanja"</f>
        <v>azn_202310_mt_kanja</v>
      </c>
      <c r="E8" s="231"/>
      <c r="F8" s="231"/>
      <c r="G8" s="231"/>
      <c r="H8" s="231"/>
      <c r="I8" s="231"/>
      <c r="J8" s="232"/>
    </row>
    <row r="9" spans="1:52" ht="19.5" customHeight="1" thickBot="1">
      <c r="B9" s="233" t="s">
        <v>117</v>
      </c>
      <c r="C9" s="234"/>
      <c r="D9" s="235" t="s">
        <v>899</v>
      </c>
      <c r="E9" s="236"/>
      <c r="F9" s="236"/>
      <c r="G9" s="236"/>
      <c r="H9" s="236"/>
      <c r="I9" s="236"/>
      <c r="J9" s="237"/>
    </row>
    <row r="10" spans="1:52">
      <c r="B10" s="19"/>
      <c r="C10" s="19"/>
      <c r="D10" s="5"/>
      <c r="E10" s="5"/>
      <c r="F10" s="5"/>
      <c r="G10" s="5"/>
      <c r="H10" s="5"/>
      <c r="I10" s="5"/>
      <c r="J10" s="18"/>
      <c r="N10" s="78" t="str">
        <f>"--DROP TABLE  "&amp;エンティティ一覧!$O$2&amp;"."&amp;D$8&amp;";"</f>
        <v>--DROP TABLE  milscm_2023_010.azn_202310_mt_kanja;</v>
      </c>
      <c r="O10" s="78"/>
      <c r="P10" s="78"/>
      <c r="Q10" s="78"/>
      <c r="R10" s="78"/>
      <c r="S10" s="78"/>
      <c r="T10" s="78"/>
      <c r="AJ10" s="78" t="str">
        <f>"ALTER TABLE ONLY "&amp;エンティティ一覧!$O$2&amp;"."&amp;D$8</f>
        <v>ALTER TABLE ONLY milscm_2023_010.azn_202310_mt_kanja</v>
      </c>
      <c r="AS10" s="78" t="str">
        <f>"ALTER TABLE "&amp;エンティティ一覧!$O$2&amp;"."&amp;D$8&amp;" OWNER TO pgmisgrp1;"</f>
        <v>ALTER TABLE milscm_2023_010.azn_202310_mt_kanja OWNER TO pgmisgrp1;</v>
      </c>
    </row>
    <row r="11" spans="1:52" ht="19.5" thickBot="1">
      <c r="B11" s="20" t="s">
        <v>118</v>
      </c>
      <c r="C11" s="19"/>
      <c r="D11" s="5"/>
      <c r="E11" s="5"/>
      <c r="F11" s="5"/>
      <c r="G11" s="5"/>
      <c r="H11" s="5"/>
      <c r="I11" s="5"/>
      <c r="J11" s="18"/>
      <c r="N11" s="78" t="str">
        <f>"CREATE TABLE  "&amp;エンティティ一覧!$O$2&amp;"."&amp;D$8</f>
        <v>CREATE TABLE  milscm_2023_010.azn_202310_mt_kanja</v>
      </c>
      <c r="O11" s="78"/>
      <c r="P11" s="78"/>
      <c r="Q11" s="78"/>
      <c r="R11" s="78"/>
      <c r="S11" s="78"/>
      <c r="T11" s="78"/>
      <c r="AJ11" s="78" t="str">
        <f>"ADD CONSTRAINT "&amp;D$8&amp;"_pkey PRIMARY KEY"</f>
        <v>ADD CONSTRAINT azn_202310_mt_kanja_pkey PRIMARY KEY</v>
      </c>
      <c r="AS11" s="78"/>
    </row>
    <row r="12" spans="1:52">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milscm_2023_010.azn_202310_mt_kanja IS '患者マスタ';</v>
      </c>
    </row>
    <row r="13" spans="1:52" s="25" customFormat="1">
      <c r="A13" s="4"/>
      <c r="B13" s="21">
        <f>ROW()-12</f>
        <v>1</v>
      </c>
      <c r="C13" s="13" t="s">
        <v>137</v>
      </c>
      <c r="D13" s="13" t="s">
        <v>128</v>
      </c>
      <c r="E13" s="7" t="s">
        <v>127</v>
      </c>
      <c r="F13" s="7" t="s">
        <v>318</v>
      </c>
      <c r="G13" s="7" t="str">
        <f>IF(F13="フラグ","boolean",IF(F13="文字列","text",IF(F13="整数","integer",IF(F13="実数","numeric",""))))</f>
        <v>text</v>
      </c>
      <c r="H13" s="9"/>
      <c r="I13" s="10" t="s">
        <v>127</v>
      </c>
      <c r="J13" s="24"/>
      <c r="M13" s="4"/>
      <c r="N13" s="78"/>
      <c r="O13" s="78"/>
      <c r="P13" s="78" t="str">
        <f>IF(B13&lt;&gt;1,","&amp;D13,D13)</f>
        <v>facility_id</v>
      </c>
      <c r="Q13" s="78" t="str">
        <f t="shared" ref="Q13:Q15" si="0">UPPER(G13)</f>
        <v>TEXT</v>
      </c>
      <c r="R13" s="78" t="str">
        <f t="shared" ref="R13:R15"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milscm_2023_010.azn_202310_mt_kanja.facility_id IS '施設ID';</v>
      </c>
    </row>
    <row r="14" spans="1:52" s="25" customFormat="1">
      <c r="A14" s="4"/>
      <c r="B14" s="21">
        <f t="shared" ref="B14:B15" si="2">ROW()-12</f>
        <v>2</v>
      </c>
      <c r="C14" s="6" t="s">
        <v>321</v>
      </c>
      <c r="D14" s="6" t="s">
        <v>211</v>
      </c>
      <c r="E14" s="8" t="s">
        <v>127</v>
      </c>
      <c r="F14" s="7" t="s">
        <v>318</v>
      </c>
      <c r="G14" s="7" t="str">
        <f t="shared" ref="G14" si="3">IF(F14="フラグ","boolean",IF(F14="文字列","text",IF(F14="整数","integer",IF(F14="実数","numeric",""))))</f>
        <v>text</v>
      </c>
      <c r="H14" s="58"/>
      <c r="I14" s="23" t="s">
        <v>127</v>
      </c>
      <c r="J14" s="24"/>
      <c r="M14" s="4"/>
      <c r="N14" s="78"/>
      <c r="O14" s="78"/>
      <c r="P14" s="78" t="str">
        <f t="shared" ref="P14:P15" si="4">IF(B14&lt;&gt;1,","&amp;D14,D14)</f>
        <v>,shikibetsu_no</v>
      </c>
      <c r="Q14" s="78" t="str">
        <f t="shared" si="0"/>
        <v>TEXT</v>
      </c>
      <c r="R14" s="78" t="str">
        <f t="shared" si="1"/>
        <v/>
      </c>
      <c r="S14" s="78" t="str">
        <f>IF(I14="○","NOT NULL","")</f>
        <v>NOT NULL</v>
      </c>
      <c r="T14" s="78" t="str">
        <f>"-- "&amp;C14</f>
        <v>-- データ識別番号</v>
      </c>
      <c r="U14" s="4"/>
      <c r="AA14" s="4"/>
      <c r="AB14" s="4"/>
      <c r="AC14" s="4"/>
      <c r="AD14" s="4"/>
      <c r="AE14" s="4"/>
      <c r="AF14" s="4"/>
      <c r="AG14" s="4"/>
      <c r="AH14" s="4"/>
      <c r="AI14" s="4"/>
      <c r="AJ14" s="78" t="str">
        <f>IF(E14="○",IF(COUNTA(E$13:E14)=1,"",",")&amp;D14,"")</f>
        <v>,shikibetsu_no</v>
      </c>
      <c r="AK14" s="4"/>
      <c r="AL14" s="4"/>
      <c r="AM14" s="4"/>
      <c r="AN14" s="4"/>
      <c r="AO14" s="4"/>
      <c r="AP14" s="4"/>
      <c r="AQ14" s="4"/>
      <c r="AR14" s="4"/>
      <c r="AS14" s="78" t="str">
        <f>"COMMENT ON COLUMN "&amp;エンティティ一覧!$O$2&amp;"."&amp;D$8&amp;"."&amp;D14&amp;" IS '"&amp;C14&amp;"';"</f>
        <v>COMMENT ON COLUMN milscm_2023_010.azn_202310_mt_kanja.shikibetsu_no IS 'データ識別番号';</v>
      </c>
    </row>
    <row r="15" spans="1:52" s="25" customFormat="1" ht="19.5" thickBot="1">
      <c r="A15" s="4"/>
      <c r="B15" s="70">
        <f t="shared" si="2"/>
        <v>3</v>
      </c>
      <c r="C15" s="71" t="s">
        <v>927</v>
      </c>
      <c r="D15" s="71" t="s">
        <v>928</v>
      </c>
      <c r="E15" s="74" t="s">
        <v>127</v>
      </c>
      <c r="F15" s="72" t="s">
        <v>318</v>
      </c>
      <c r="G15" s="72" t="str">
        <f t="shared" ref="G15" si="5">IF(F15="フラグ","boolean",IF(F15="文字列","text",IF(F15="整数","integer",IF(F15="実数","numeric",""))))</f>
        <v>text</v>
      </c>
      <c r="H15" s="73"/>
      <c r="I15" s="74" t="s">
        <v>127</v>
      </c>
      <c r="J15" s="75" t="s">
        <v>937</v>
      </c>
      <c r="M15" s="4"/>
      <c r="N15" s="78"/>
      <c r="O15" s="78"/>
      <c r="P15" s="78" t="str">
        <f t="shared" si="4"/>
        <v>,sex</v>
      </c>
      <c r="Q15" s="78" t="str">
        <f t="shared" si="0"/>
        <v>TEXT</v>
      </c>
      <c r="R15" s="78" t="str">
        <f t="shared" si="1"/>
        <v/>
      </c>
      <c r="S15" s="78" t="str">
        <f>IF(I15="○","NOT NULL","")</f>
        <v>NOT NULL</v>
      </c>
      <c r="T15" s="78" t="str">
        <f>"-- "&amp;C15</f>
        <v>-- 性別</v>
      </c>
      <c r="U15" s="4"/>
      <c r="AA15" s="4"/>
      <c r="AB15" s="4"/>
      <c r="AC15" s="4"/>
      <c r="AD15" s="4"/>
      <c r="AE15" s="4"/>
      <c r="AF15" s="4"/>
      <c r="AG15" s="4"/>
      <c r="AH15" s="4"/>
      <c r="AI15" s="4"/>
      <c r="AJ15" s="78" t="str">
        <f>IF(E15="○",IF(COUNTA(E$13:E15)=1,"",",")&amp;D15,"")</f>
        <v>,sex</v>
      </c>
      <c r="AK15" s="4"/>
      <c r="AL15" s="4"/>
      <c r="AM15" s="4"/>
      <c r="AN15" s="4"/>
      <c r="AO15" s="4"/>
      <c r="AP15" s="4"/>
      <c r="AQ15" s="4"/>
      <c r="AR15" s="4"/>
      <c r="AS15" s="78" t="str">
        <f>"COMMENT ON COLUMN "&amp;エンティティ一覧!$O$2&amp;"."&amp;D$8&amp;"."&amp;D15&amp;" IS '"&amp;C15&amp;"';"</f>
        <v>COMMENT ON COLUMN milscm_2023_010.azn_202310_mt_kanja.sex IS '性別';</v>
      </c>
    </row>
    <row r="16" spans="1:52">
      <c r="L16" s="25"/>
      <c r="N16" s="78" t="s">
        <v>142</v>
      </c>
      <c r="O16" s="78"/>
      <c r="P16" s="78"/>
      <c r="Q16" s="78"/>
      <c r="R16" s="78"/>
      <c r="S16" s="78"/>
      <c r="T16" s="78"/>
      <c r="V16" s="25"/>
      <c r="W16" s="25"/>
      <c r="X16" s="25"/>
      <c r="Y16" s="25"/>
      <c r="Z16" s="25"/>
      <c r="AJ16" s="78"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500-000000000000}"/>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21</v>
      </c>
      <c r="E4" s="215"/>
      <c r="F4" s="215"/>
      <c r="G4" s="215"/>
      <c r="H4" s="215"/>
      <c r="I4" s="215"/>
      <c r="J4" s="216"/>
    </row>
    <row r="5" spans="1:45">
      <c r="B5" s="228" t="s">
        <v>3755</v>
      </c>
      <c r="C5" s="229"/>
      <c r="D5" s="238" t="str">
        <f>VLOOKUP(D7,エンティティ一覧!A1:'エンティティ一覧'!AM10142,7,FALSE)</f>
        <v>mt</v>
      </c>
      <c r="E5" s="239"/>
      <c r="F5" s="239"/>
      <c r="G5" s="239"/>
      <c r="H5" s="239"/>
      <c r="I5" s="239"/>
      <c r="J5" s="240"/>
    </row>
    <row r="6" spans="1:45">
      <c r="B6" s="228" t="s">
        <v>3756</v>
      </c>
      <c r="C6" s="229"/>
      <c r="D6" s="238" t="str">
        <f>VLOOKUP(D7,エンティティ一覧!A1:'エンティティ一覧'!AM10142,15,FALSE)</f>
        <v>ENT_21_02</v>
      </c>
      <c r="E6" s="239"/>
      <c r="F6" s="239"/>
      <c r="G6" s="239"/>
      <c r="H6" s="239"/>
      <c r="I6" s="239"/>
      <c r="J6" s="240"/>
    </row>
    <row r="7" spans="1:45">
      <c r="B7" s="228" t="s">
        <v>115</v>
      </c>
      <c r="C7" s="229"/>
      <c r="D7" s="230" t="s">
        <v>308</v>
      </c>
      <c r="E7" s="231"/>
      <c r="F7" s="231"/>
      <c r="G7" s="231"/>
      <c r="H7" s="231"/>
      <c r="I7" s="231"/>
      <c r="J7" s="232"/>
    </row>
    <row r="8" spans="1:45">
      <c r="B8" s="228" t="s">
        <v>116</v>
      </c>
      <c r="C8" s="229"/>
      <c r="D8" s="230" t="str">
        <f>エンティティ一覧!AE2&amp;"_"&amp;D5&amp;"_xxxx"</f>
        <v>azn_202310_mt_xxxx</v>
      </c>
      <c r="E8" s="231"/>
      <c r="F8" s="231"/>
      <c r="G8" s="231"/>
      <c r="H8" s="231"/>
      <c r="I8" s="231"/>
      <c r="J8" s="232"/>
    </row>
    <row r="9" spans="1:45" ht="19.5" customHeight="1" thickBot="1">
      <c r="B9" s="233" t="s">
        <v>117</v>
      </c>
      <c r="C9" s="234"/>
      <c r="D9" s="235" t="s">
        <v>920</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milscm_2023_010.azn_202310_mt_xxxx;</v>
      </c>
      <c r="O10" s="78"/>
      <c r="P10" s="78"/>
      <c r="Q10" s="78"/>
      <c r="R10" s="78"/>
      <c r="S10" s="78"/>
      <c r="T10" s="78"/>
      <c r="AJ10" s="78" t="str">
        <f>"ALTER TABLE ONLY "&amp;エンティティ一覧!$O$2&amp;"."&amp;D$8</f>
        <v>ALTER TABLE ONLY milscm_2023_010.azn_202310_mt_xxxx</v>
      </c>
      <c r="AS10" s="78" t="str">
        <f>"ALTER TABLE "&amp;エンティティ一覧!$O$2&amp;"."&amp;D$8&amp;" OWNER TO pgmisgrp1;"</f>
        <v>ALTER TABLE milscm_2023_010.azn_202310_mt_xxxx OWNER TO pgmisgrp1;</v>
      </c>
    </row>
    <row r="11" spans="1:45" ht="19.5" thickBot="1">
      <c r="B11" s="20" t="s">
        <v>118</v>
      </c>
      <c r="C11" s="19"/>
      <c r="D11" s="5"/>
      <c r="E11" s="5"/>
      <c r="F11" s="5"/>
      <c r="G11" s="5"/>
      <c r="H11" s="5"/>
      <c r="I11" s="5"/>
      <c r="J11" s="18"/>
      <c r="N11" s="78" t="str">
        <f>"CREATE TABLE  "&amp;エンティティ一覧!$O$2&amp;"."&amp;D$8</f>
        <v>CREATE TABLE  milscm_2023_010.azn_202310_mt_xxxx</v>
      </c>
      <c r="O11" s="78"/>
      <c r="P11" s="78"/>
      <c r="Q11" s="78"/>
      <c r="R11" s="78"/>
      <c r="S11" s="78"/>
      <c r="T11" s="78"/>
      <c r="AJ11" s="78" t="str">
        <f>"ADD CONSTRAINT "&amp;D$8&amp;"_pkey PRIMARY KEY"</f>
        <v>ADD CONSTRAINT azn_202310_mt_xxxx_pkey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milscm_2023_010.azn_202310_mt_xxxx IS '疾患マスタ';</v>
      </c>
    </row>
    <row r="13" spans="1:45" s="25" customFormat="1" ht="93.75">
      <c r="A13" s="4"/>
      <c r="B13" s="21">
        <f>ROW()-12</f>
        <v>1</v>
      </c>
      <c r="C13" s="6" t="s">
        <v>933</v>
      </c>
      <c r="D13" s="6" t="s">
        <v>934</v>
      </c>
      <c r="E13" s="8"/>
      <c r="F13" s="7" t="s">
        <v>740</v>
      </c>
      <c r="G13" s="7" t="str">
        <f>IF(F13="フラグ","boolean",IF(F13="文字列","text",IF(F13="整数","integer",IF(F13="実数","numeric",""))))</f>
        <v>text</v>
      </c>
      <c r="H13" s="67"/>
      <c r="I13" s="8" t="s">
        <v>127</v>
      </c>
      <c r="J13" s="11" t="s">
        <v>935</v>
      </c>
      <c r="M13" s="4"/>
      <c r="N13" s="78"/>
      <c r="O13" s="78"/>
      <c r="P13" s="78" t="str">
        <f>IF(B13&lt;&gt;1,","&amp;D13,D13)</f>
        <v>icd10_l_name</v>
      </c>
      <c r="Q13" s="78" t="str">
        <f t="shared" ref="Q13:Q24" si="0">UPPER(G13)</f>
        <v>TEXT</v>
      </c>
      <c r="R13" s="78" t="str">
        <f t="shared" ref="R13:R24" si="1">IF(H13&lt;&gt;"","default "&amp;IF(G13="text","'"&amp;H13&amp;"'",H13),"")</f>
        <v/>
      </c>
      <c r="S13" s="78" t="str">
        <f>IF(I13="○","NOT NULL","")</f>
        <v>NOT NULL</v>
      </c>
      <c r="T13" s="78" t="str">
        <f>"-- "&amp;C13</f>
        <v>-- ICD10大区分名称</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milscm_2023_010.azn_202310_mt_xxxx.icd10_l_name IS 'ICD10大区分名称';</v>
      </c>
    </row>
    <row r="14" spans="1:45" s="25" customFormat="1" ht="37.5">
      <c r="A14" s="4"/>
      <c r="B14" s="21">
        <f t="shared" ref="B14:B24" si="2">ROW()-12</f>
        <v>2</v>
      </c>
      <c r="C14" s="6" t="s">
        <v>925</v>
      </c>
      <c r="D14" s="6" t="s">
        <v>900</v>
      </c>
      <c r="E14" s="8"/>
      <c r="F14" s="7" t="s">
        <v>740</v>
      </c>
      <c r="G14" s="7" t="str">
        <f t="shared" ref="G14:G24" si="3">IF(F14="フラグ","boolean",IF(F14="文字列","text",IF(F14="整数","integer",IF(F14="実数","numeric",""))))</f>
        <v>text</v>
      </c>
      <c r="H14" s="67"/>
      <c r="I14" s="8" t="s">
        <v>127</v>
      </c>
      <c r="J14" s="11" t="s">
        <v>926</v>
      </c>
      <c r="M14" s="4"/>
      <c r="N14" s="78"/>
      <c r="O14" s="78"/>
      <c r="P14" s="78" t="str">
        <f t="shared" ref="P14:P24" si="4">IF(B14&lt;&gt;1,","&amp;D14,D14)</f>
        <v>,icd10_s_cd</v>
      </c>
      <c r="Q14" s="78" t="str">
        <f t="shared" si="0"/>
        <v>TEXT</v>
      </c>
      <c r="R14" s="78" t="str">
        <f t="shared" si="1"/>
        <v/>
      </c>
      <c r="S14" s="78" t="str">
        <f>IF(I14="○","NOT NULL","")</f>
        <v>NOT NULL</v>
      </c>
      <c r="T14" s="78" t="str">
        <f>"-- "&amp;C14</f>
        <v>-- ICD10小区分</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milscm_2023_010.azn_202310_mt_xxxx.icd10_s_cd IS 'ICD10小区分';</v>
      </c>
    </row>
    <row r="15" spans="1:45" s="25" customFormat="1" ht="37.5">
      <c r="A15" s="4"/>
      <c r="B15" s="21">
        <f t="shared" si="2"/>
        <v>3</v>
      </c>
      <c r="C15" s="6" t="s">
        <v>924</v>
      </c>
      <c r="D15" s="6" t="s">
        <v>901</v>
      </c>
      <c r="E15" s="8"/>
      <c r="F15" s="7" t="s">
        <v>740</v>
      </c>
      <c r="G15" s="7" t="str">
        <f t="shared" si="3"/>
        <v>text</v>
      </c>
      <c r="H15" s="67"/>
      <c r="I15" s="8" t="s">
        <v>127</v>
      </c>
      <c r="J15" s="11" t="s">
        <v>923</v>
      </c>
      <c r="M15" s="4"/>
      <c r="N15" s="78"/>
      <c r="O15" s="78"/>
      <c r="P15" s="78" t="str">
        <f t="shared" si="4"/>
        <v>,icd10_s_name</v>
      </c>
      <c r="Q15" s="78" t="str">
        <f t="shared" si="0"/>
        <v>TEXT</v>
      </c>
      <c r="R15" s="78" t="str">
        <f t="shared" si="1"/>
        <v/>
      </c>
      <c r="S15" s="78" t="str">
        <f>IF(I15="○","NOT NULL","")</f>
        <v>NOT NULL</v>
      </c>
      <c r="T15" s="78" t="str">
        <f>"-- "&amp;C15</f>
        <v>-- ICD10小区分名称</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milscm_2023_010.azn_202310_mt_xxxx.icd10_s_name IS 'ICD10小区分名称';</v>
      </c>
    </row>
    <row r="16" spans="1:45" s="25" customFormat="1">
      <c r="A16" s="4"/>
      <c r="B16" s="21">
        <f t="shared" si="2"/>
        <v>4</v>
      </c>
      <c r="C16" s="6" t="s">
        <v>911</v>
      </c>
      <c r="D16" s="6" t="s">
        <v>902</v>
      </c>
      <c r="E16" s="8"/>
      <c r="F16" s="7" t="s">
        <v>740</v>
      </c>
      <c r="G16" s="7" t="str">
        <f>IF(F16="フラグ","boolean",IF(F16="文字列","text",IF(F16="整数","integer",IF(F16="実数","numeric",""))))</f>
        <v>text</v>
      </c>
      <c r="H16" s="67"/>
      <c r="I16" s="8"/>
      <c r="J16" s="11"/>
      <c r="M16" s="4"/>
      <c r="N16" s="78"/>
      <c r="O16" s="78"/>
      <c r="P16" s="78" t="str">
        <f t="shared" si="4"/>
        <v>,icd10_code</v>
      </c>
      <c r="Q16" s="78" t="str">
        <f t="shared" si="0"/>
        <v>TEXT</v>
      </c>
      <c r="R16" s="78" t="str">
        <f t="shared" si="1"/>
        <v/>
      </c>
      <c r="S16" s="78" t="str">
        <f t="shared" ref="S16:S24" si="5">IF(I16="○","NOT NULL","")</f>
        <v/>
      </c>
      <c r="T16" s="78" t="str">
        <f t="shared" ref="T16:T24" si="6">"-- "&amp;C16</f>
        <v>-- ICD10</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milscm_2023_010.azn_202310_mt_xxxx.icd10_code IS 'ICD10';</v>
      </c>
    </row>
    <row r="17" spans="1:52" s="25" customFormat="1">
      <c r="A17" s="4"/>
      <c r="B17" s="21">
        <f t="shared" si="2"/>
        <v>5</v>
      </c>
      <c r="C17" s="6" t="s">
        <v>904</v>
      </c>
      <c r="D17" s="6" t="s">
        <v>903</v>
      </c>
      <c r="E17" s="8"/>
      <c r="F17" s="7" t="s">
        <v>740</v>
      </c>
      <c r="G17" s="7" t="str">
        <f t="shared" si="3"/>
        <v>text</v>
      </c>
      <c r="H17" s="67"/>
      <c r="I17" s="8"/>
      <c r="J17" s="11"/>
      <c r="N17" s="78"/>
      <c r="O17" s="78"/>
      <c r="P17" s="78" t="str">
        <f t="shared" si="4"/>
        <v>,icd10_name</v>
      </c>
      <c r="Q17" s="78" t="str">
        <f t="shared" si="0"/>
        <v>TEXT</v>
      </c>
      <c r="R17" s="78" t="str">
        <f t="shared" si="1"/>
        <v/>
      </c>
      <c r="S17" s="78" t="str">
        <f t="shared" si="5"/>
        <v/>
      </c>
      <c r="T17" s="78" t="str">
        <f t="shared" si="6"/>
        <v>-- ICD10名称</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milscm_2023_010.azn_202310_mt_xxxx.icd10_name IS 'ICD10名称';</v>
      </c>
    </row>
    <row r="18" spans="1:52" s="25" customFormat="1">
      <c r="A18" s="4"/>
      <c r="B18" s="21">
        <f t="shared" si="2"/>
        <v>6</v>
      </c>
      <c r="C18" s="6" t="s">
        <v>905</v>
      </c>
      <c r="D18" s="6" t="s">
        <v>906</v>
      </c>
      <c r="E18" s="8"/>
      <c r="F18" s="7" t="s">
        <v>740</v>
      </c>
      <c r="G18" s="7" t="str">
        <f>IF(F18="フラグ","boolean",IF(F18="文字列","text",IF(F18="整数","integer",IF(F18="実数","numeric",""))))</f>
        <v>text</v>
      </c>
      <c r="H18" s="67"/>
      <c r="I18" s="8"/>
      <c r="J18" s="11"/>
      <c r="N18" s="78"/>
      <c r="O18" s="78"/>
      <c r="P18" s="78" t="str">
        <f t="shared" si="4"/>
        <v>,icd10_2</v>
      </c>
      <c r="Q18" s="78" t="str">
        <f t="shared" si="0"/>
        <v>TEXT</v>
      </c>
      <c r="R18" s="78" t="str">
        <f t="shared" si="1"/>
        <v/>
      </c>
      <c r="S18" s="78" t="str">
        <f t="shared" si="5"/>
        <v/>
      </c>
      <c r="T18" s="78" t="str">
        <f t="shared" si="6"/>
        <v>-- ICD10_2</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milscm_2023_010.azn_202310_mt_xxxx.icd10_2 IS 'ICD10_2';</v>
      </c>
    </row>
    <row r="19" spans="1:52" s="25" customFormat="1">
      <c r="A19" s="4"/>
      <c r="B19" s="21">
        <f t="shared" si="2"/>
        <v>7</v>
      </c>
      <c r="C19" s="6" t="s">
        <v>907</v>
      </c>
      <c r="D19" s="6" t="s">
        <v>908</v>
      </c>
      <c r="E19" s="8"/>
      <c r="F19" s="7" t="s">
        <v>740</v>
      </c>
      <c r="G19" s="7" t="str">
        <f t="shared" si="3"/>
        <v>text</v>
      </c>
      <c r="H19" s="67"/>
      <c r="I19" s="8"/>
      <c r="J19" s="11"/>
      <c r="N19" s="78"/>
      <c r="O19" s="78"/>
      <c r="P19" s="78" t="str">
        <f t="shared" si="4"/>
        <v>,icd10_2003</v>
      </c>
      <c r="Q19" s="78" t="str">
        <f t="shared" si="0"/>
        <v>TEXT</v>
      </c>
      <c r="R19" s="78" t="str">
        <f t="shared" si="1"/>
        <v/>
      </c>
      <c r="S19" s="78" t="str">
        <f t="shared" si="5"/>
        <v/>
      </c>
      <c r="T19" s="78" t="str">
        <f t="shared" si="6"/>
        <v>-- ICD10_2003</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milscm_2023_010.azn_202310_mt_xxxx.icd10_2003 IS 'ICD10_2003';</v>
      </c>
    </row>
    <row r="20" spans="1:52" s="25" customFormat="1">
      <c r="A20" s="4"/>
      <c r="B20" s="21">
        <f t="shared" si="2"/>
        <v>8</v>
      </c>
      <c r="C20" s="6" t="s">
        <v>909</v>
      </c>
      <c r="D20" s="6" t="s">
        <v>910</v>
      </c>
      <c r="E20" s="8"/>
      <c r="F20" s="7" t="s">
        <v>740</v>
      </c>
      <c r="G20" s="7" t="str">
        <f t="shared" si="3"/>
        <v>text</v>
      </c>
      <c r="H20" s="67"/>
      <c r="I20" s="8"/>
      <c r="J20" s="11"/>
      <c r="N20" s="78"/>
      <c r="O20" s="78"/>
      <c r="P20" s="78" t="str">
        <f t="shared" si="4"/>
        <v>,icd10_2003_2</v>
      </c>
      <c r="Q20" s="78" t="str">
        <f t="shared" si="0"/>
        <v>TEXT</v>
      </c>
      <c r="R20" s="78" t="str">
        <f t="shared" si="1"/>
        <v/>
      </c>
      <c r="S20" s="78" t="str">
        <f t="shared" si="5"/>
        <v/>
      </c>
      <c r="T20" s="78" t="str">
        <f t="shared" si="6"/>
        <v>-- ICD10_2003_2</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milscm_2023_010.azn_202310_mt_xxxx.icd10_2003_2 IS 'ICD10_2003_2';</v>
      </c>
    </row>
    <row r="21" spans="1:52" s="25" customFormat="1">
      <c r="A21" s="4"/>
      <c r="B21" s="21">
        <f t="shared" si="2"/>
        <v>9</v>
      </c>
      <c r="C21" s="13" t="s">
        <v>912</v>
      </c>
      <c r="D21" s="13" t="s">
        <v>914</v>
      </c>
      <c r="E21" s="7" t="s">
        <v>127</v>
      </c>
      <c r="F21" s="7" t="s">
        <v>740</v>
      </c>
      <c r="G21" s="7" t="str">
        <f t="shared" ref="G21" si="7">IF(F21="フラグ","boolean",IF(F21="文字列","text",IF(F21="整数","integer",IF(F21="実数","numeric",""))))</f>
        <v>text</v>
      </c>
      <c r="H21" s="67"/>
      <c r="I21" s="8" t="s">
        <v>127</v>
      </c>
      <c r="J21" s="11"/>
      <c r="N21" s="78"/>
      <c r="O21" s="78"/>
      <c r="P21" s="78" t="str">
        <f t="shared" si="4"/>
        <v>,shobyo_name_cd</v>
      </c>
      <c r="Q21" s="78" t="str">
        <f t="shared" si="0"/>
        <v>TEXT</v>
      </c>
      <c r="R21" s="78" t="str">
        <f t="shared" si="1"/>
        <v/>
      </c>
      <c r="S21" s="78" t="str">
        <f t="shared" si="5"/>
        <v>NOT NULL</v>
      </c>
      <c r="T21" s="78" t="str">
        <f t="shared" si="6"/>
        <v>-- 傷病名コード</v>
      </c>
      <c r="U21" s="4"/>
      <c r="AA21" s="4"/>
      <c r="AB21" s="4"/>
      <c r="AC21" s="4"/>
      <c r="AD21" s="4"/>
      <c r="AE21" s="4"/>
      <c r="AF21" s="4"/>
      <c r="AG21" s="4"/>
      <c r="AH21" s="4"/>
      <c r="AI21" s="4"/>
      <c r="AJ21" s="78" t="str">
        <f>IF(E21="○",IF(COUNTA(E$13:E21)=1,"",",")&amp;D21,"")</f>
        <v>shobyo_name_cd</v>
      </c>
      <c r="AK21" s="4"/>
      <c r="AL21" s="4"/>
      <c r="AM21" s="4"/>
      <c r="AN21" s="4"/>
      <c r="AO21" s="4"/>
      <c r="AP21" s="4"/>
      <c r="AQ21" s="4"/>
      <c r="AR21" s="4"/>
      <c r="AS21" s="78" t="str">
        <f>"COMMENT ON COLUMN "&amp;エンティティ一覧!$O$2&amp;"."&amp;D$8&amp;"."&amp;D21&amp;" IS '"&amp;C21&amp;"';"</f>
        <v>COMMENT ON COLUMN milscm_2023_010.azn_202310_mt_xxxx.shobyo_name_cd IS '傷病名コード';</v>
      </c>
    </row>
    <row r="22" spans="1:52" s="25" customFormat="1">
      <c r="A22" s="4"/>
      <c r="B22" s="21">
        <f t="shared" si="2"/>
        <v>10</v>
      </c>
      <c r="C22" s="6" t="s">
        <v>913</v>
      </c>
      <c r="D22" s="6" t="s">
        <v>915</v>
      </c>
      <c r="E22" s="8"/>
      <c r="F22" s="7" t="s">
        <v>740</v>
      </c>
      <c r="G22" s="7" t="str">
        <f t="shared" si="3"/>
        <v>text</v>
      </c>
      <c r="H22" s="67"/>
      <c r="I22" s="8" t="s">
        <v>127</v>
      </c>
      <c r="J22" s="11"/>
      <c r="N22" s="78"/>
      <c r="O22" s="78"/>
      <c r="P22" s="78" t="str">
        <f t="shared" si="4"/>
        <v>,shobyo_name</v>
      </c>
      <c r="Q22" s="78" t="str">
        <f t="shared" si="0"/>
        <v>TEXT</v>
      </c>
      <c r="R22" s="78" t="str">
        <f t="shared" si="1"/>
        <v/>
      </c>
      <c r="S22" s="78" t="str">
        <f t="shared" si="5"/>
        <v>NOT NULL</v>
      </c>
      <c r="T22" s="78" t="str">
        <f t="shared" si="6"/>
        <v>-- 傷病名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milscm_2023_010.azn_202310_mt_xxxx.shobyo_name IS '傷病名';</v>
      </c>
    </row>
    <row r="23" spans="1:52" s="25" customFormat="1">
      <c r="A23" s="4"/>
      <c r="B23" s="21">
        <f t="shared" si="2"/>
        <v>11</v>
      </c>
      <c r="C23" s="6" t="s">
        <v>916</v>
      </c>
      <c r="D23" s="6" t="s">
        <v>919</v>
      </c>
      <c r="E23" s="8"/>
      <c r="F23" s="7" t="s">
        <v>740</v>
      </c>
      <c r="G23" s="7" t="str">
        <f t="shared" si="3"/>
        <v>text</v>
      </c>
      <c r="H23" s="67"/>
      <c r="I23" s="8"/>
      <c r="J23" s="11"/>
      <c r="N23" s="78"/>
      <c r="O23" s="78"/>
      <c r="P23" s="78" t="str">
        <f t="shared" si="4"/>
        <v>,non_ap_f</v>
      </c>
      <c r="Q23" s="78" t="str">
        <f t="shared" si="0"/>
        <v>TEXT</v>
      </c>
      <c r="R23" s="78" t="str">
        <f t="shared" si="1"/>
        <v/>
      </c>
      <c r="S23" s="78" t="str">
        <f t="shared" si="5"/>
        <v/>
      </c>
      <c r="T23" s="78" t="str">
        <f t="shared" si="6"/>
        <v>-- 対象外フラグ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milscm_2023_010.azn_202310_mt_xxxx.non_ap_f IS '対象外フラグ';</v>
      </c>
    </row>
    <row r="24" spans="1:52" s="25" customFormat="1" ht="19.5" thickBot="1">
      <c r="A24" s="4"/>
      <c r="B24" s="66">
        <f t="shared" si="2"/>
        <v>12</v>
      </c>
      <c r="C24" s="28" t="s">
        <v>917</v>
      </c>
      <c r="D24" s="28" t="s">
        <v>918</v>
      </c>
      <c r="E24" s="29"/>
      <c r="F24" s="56" t="s">
        <v>740</v>
      </c>
      <c r="G24" s="56" t="str">
        <f t="shared" si="3"/>
        <v>text</v>
      </c>
      <c r="H24" s="68"/>
      <c r="I24" s="29"/>
      <c r="J24" s="69"/>
      <c r="N24" s="78"/>
      <c r="O24" s="78"/>
      <c r="P24" s="78" t="str">
        <f t="shared" si="4"/>
        <v>,add_f</v>
      </c>
      <c r="Q24" s="78" t="str">
        <f t="shared" si="0"/>
        <v>TEXT</v>
      </c>
      <c r="R24" s="78" t="str">
        <f t="shared" si="1"/>
        <v/>
      </c>
      <c r="S24" s="78" t="str">
        <f t="shared" si="5"/>
        <v/>
      </c>
      <c r="T24" s="78" t="str">
        <f t="shared" si="6"/>
        <v>-- 追加フラグ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milscm_2023_010.azn_202310_mt_xxxx.add_f IS '追加フラグ';</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9600-000000000000}"/>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ENT_31_01</v>
      </c>
      <c r="E6" s="239"/>
      <c r="F6" s="239"/>
      <c r="G6" s="239"/>
      <c r="H6" s="239"/>
      <c r="I6" s="239"/>
      <c r="J6" s="240"/>
    </row>
    <row r="7" spans="1:45">
      <c r="B7" s="228" t="s">
        <v>115</v>
      </c>
      <c r="C7" s="229"/>
      <c r="D7" s="230" t="s">
        <v>3744</v>
      </c>
      <c r="E7" s="231"/>
      <c r="F7" s="231"/>
      <c r="G7" s="231"/>
      <c r="H7" s="231"/>
      <c r="I7" s="231"/>
      <c r="J7" s="232"/>
    </row>
    <row r="8" spans="1:45">
      <c r="B8" s="228" t="s">
        <v>116</v>
      </c>
      <c r="C8" s="229"/>
      <c r="D8" s="230" t="str">
        <f>エンティティ一覧!AE2&amp;"_"&amp;D5&amp;"_mart_shohou"</f>
        <v>azn_202310_base_mart_shohou</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バックアップ_処方データテーブルから対象患者で絞り込んだ結果を格納するテーブル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milscm_2023_010.azn_202310_base_mart_shohou;</v>
      </c>
      <c r="O10" s="78"/>
      <c r="P10" s="78"/>
      <c r="Q10" s="78"/>
      <c r="R10" s="78"/>
      <c r="S10" s="78"/>
      <c r="T10" s="78"/>
      <c r="AJ10" s="78" t="str">
        <f>"ALTER TABLE ONLY "&amp;エンティティ一覧!$O$2&amp;"."&amp;D$8</f>
        <v>ALTER TABLE ONLY milscm_2023_010.azn_202310_base_mart_shohou</v>
      </c>
      <c r="AS10" s="78" t="str">
        <f>"ALTER TABLE "&amp;エンティティ一覧!$O$2&amp;"."&amp;D$8&amp;" OWNER TO pgmisgrp1;"</f>
        <v>ALTER TABLE milscm_2023_010.azn_202310_base_mart_shohou OWNER TO pgmisgrp1;</v>
      </c>
    </row>
    <row r="11" spans="1:45" ht="19.5" thickBot="1">
      <c r="B11" s="20" t="s">
        <v>118</v>
      </c>
      <c r="C11" s="19"/>
      <c r="D11" s="5"/>
      <c r="E11" s="5"/>
      <c r="F11" s="5"/>
      <c r="G11" s="5"/>
      <c r="H11" s="5"/>
      <c r="I11" s="5"/>
      <c r="J11" s="18"/>
      <c r="N11" s="78" t="str">
        <f>"CREATE TABLE  "&amp;エンティティ一覧!$O$2&amp;"."&amp;D$8</f>
        <v>CREATE TABLE  milscm_2023_010.azn_202310_base_mart_shohou</v>
      </c>
      <c r="O11" s="78"/>
      <c r="P11" s="78"/>
      <c r="Q11" s="78"/>
      <c r="R11" s="78"/>
      <c r="S11" s="78"/>
      <c r="T11" s="78"/>
      <c r="AJ11" s="78" t="str">
        <f>"ADD CONSTRAINT "&amp;D$8&amp;"_pkey PRIMARY KEY"</f>
        <v>ADD CONSTRAINT azn_202310_base_mart_shohou_pkey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milscm_2023_010.azn_202310_base_mart_shohou IS 'ベース_処方データ';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2" si="0">UPPER(G13)</f>
        <v>TEXT</v>
      </c>
      <c r="R13" s="78" t="str">
        <f t="shared" ref="R13:R32"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milscm_2023_010.azn_202310_base_mart_shohou.shikibetsu_no IS 'データ識別番号';</v>
      </c>
    </row>
    <row r="14" spans="1:45" s="25" customFormat="1">
      <c r="A14" s="4"/>
      <c r="B14" s="21">
        <f t="shared" ref="B14:B31" si="2">ROW()-12</f>
        <v>2</v>
      </c>
      <c r="C14" s="6" t="s">
        <v>137</v>
      </c>
      <c r="D14" s="6" t="s">
        <v>128</v>
      </c>
      <c r="E14" s="8" t="s">
        <v>127</v>
      </c>
      <c r="F14" s="7" t="s">
        <v>1782</v>
      </c>
      <c r="G14" s="7" t="str">
        <f t="shared" ref="G14:G32" si="3">IF(F14="フラグ","boolean",IF(F14="文字列","text",IF(F14="整数","integer",IF(F14="実数","numeric",""))))</f>
        <v>text</v>
      </c>
      <c r="H14" s="26"/>
      <c r="I14" s="10" t="s">
        <v>127</v>
      </c>
      <c r="J14" s="11" t="s">
        <v>1801</v>
      </c>
      <c r="M14" s="4"/>
      <c r="N14" s="78"/>
      <c r="O14" s="78"/>
      <c r="P14" s="78" t="str">
        <f t="shared" ref="P14:P32"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milscm_2023_010.azn_202310_base_mart_shohou.facility_id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2" si="5">IF(I15="○","NOT NULL","")</f>
        <v>NOT NULL</v>
      </c>
      <c r="T15" s="78" t="str">
        <f t="shared" ref="T15:T32"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milscm_2023_010.azn_202310_base_mart_shohou.shinryo_ym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milscm_2023_010.azn_202310_base_mart_shohou.data_kubun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milscm_2023_010.azn_202310_base_mart_shohou.junjo_no IS '順序番号';</v>
      </c>
    </row>
    <row r="18" spans="1:45" s="25" customFormat="1" ht="37.5">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milscm_2023_010.azn_202310_base_mart_shohou.koi_meisai_no IS '行為明細番号';</v>
      </c>
    </row>
    <row r="19" spans="1:45" s="25" customFormat="1" ht="37.5">
      <c r="A19" s="4"/>
      <c r="B19" s="21">
        <f t="shared" si="2"/>
        <v>7</v>
      </c>
      <c r="C19" s="13" t="s">
        <v>145</v>
      </c>
      <c r="D19" s="13" t="s">
        <v>154</v>
      </c>
      <c r="E19" s="7"/>
      <c r="F19" s="7" t="s">
        <v>1782</v>
      </c>
      <c r="G19" s="7" t="str">
        <f t="shared" si="3"/>
        <v>text</v>
      </c>
      <c r="H19" s="58"/>
      <c r="I19" s="23"/>
      <c r="J19" s="24" t="s">
        <v>1803</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milscm_2023_010.azn_202310_base_mart_shohou.receipt_densan_code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t="s">
        <v>1801</v>
      </c>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milscm_2023_010.azn_202310_base_mart_shohou.kaishaku_no IS '解釈番号';</v>
      </c>
    </row>
    <row r="21" spans="1:45" s="25" customFormat="1">
      <c r="A21" s="4"/>
      <c r="B21" s="21">
        <f t="shared" si="2"/>
        <v>9</v>
      </c>
      <c r="C21" s="13" t="s">
        <v>1788</v>
      </c>
      <c r="D21" s="13" t="s">
        <v>129</v>
      </c>
      <c r="E21" s="7"/>
      <c r="F21" s="7" t="s">
        <v>1789</v>
      </c>
      <c r="G21" s="7" t="str">
        <f t="shared" si="3"/>
        <v>numeric</v>
      </c>
      <c r="H21" s="58"/>
      <c r="I21" s="23"/>
      <c r="J21" s="24" t="s">
        <v>1801</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milscm_2023_010.azn_202310_base_mart_shohou.shiyoryo IS '使用量';</v>
      </c>
    </row>
    <row r="22" spans="1:45" s="25" customFormat="1">
      <c r="A22" s="4"/>
      <c r="B22" s="21">
        <f t="shared" si="2"/>
        <v>10</v>
      </c>
      <c r="C22" s="13" t="s">
        <v>1790</v>
      </c>
      <c r="D22" s="13" t="s">
        <v>277</v>
      </c>
      <c r="E22" s="7"/>
      <c r="F22" s="7" t="s">
        <v>1782</v>
      </c>
      <c r="G22" s="7" t="str">
        <f t="shared" si="3"/>
        <v>text</v>
      </c>
      <c r="H22" s="58"/>
      <c r="I22" s="23"/>
      <c r="J22" s="24" t="s">
        <v>1801</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milscm_2023_010.azn_202310_base_mart_shohou.unit IS '基準単位';</v>
      </c>
    </row>
    <row r="23" spans="1:45" s="25" customFormat="1">
      <c r="A23" s="4"/>
      <c r="B23" s="21">
        <f t="shared" si="2"/>
        <v>11</v>
      </c>
      <c r="C23" s="13" t="s">
        <v>1791</v>
      </c>
      <c r="D23" s="13" t="s">
        <v>130</v>
      </c>
      <c r="E23" s="7"/>
      <c r="F23" s="7" t="s">
        <v>1789</v>
      </c>
      <c r="G23" s="7" t="str">
        <f t="shared" si="3"/>
        <v>numeric</v>
      </c>
      <c r="H23" s="58"/>
      <c r="I23" s="23"/>
      <c r="J23" s="24" t="s">
        <v>1801</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milscm_2023_010.azn_202310_base_mart_shohou.meisai_tensu IS '明細点数・金額';</v>
      </c>
    </row>
    <row r="24" spans="1:45" s="25" customFormat="1" ht="37.5">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milscm_2023_010.azn_202310_base_mart_shohou.ten_kubun IS '円・点区分';</v>
      </c>
    </row>
    <row r="25" spans="1:45" s="25" customFormat="1">
      <c r="A25" s="4"/>
      <c r="B25" s="21">
        <f t="shared" si="2"/>
        <v>13</v>
      </c>
      <c r="C25" s="13" t="s">
        <v>1793</v>
      </c>
      <c r="D25" s="13" t="s">
        <v>132</v>
      </c>
      <c r="E25" s="7"/>
      <c r="F25" s="7" t="s">
        <v>1782</v>
      </c>
      <c r="G25" s="7" t="str">
        <f t="shared" si="3"/>
        <v>text</v>
      </c>
      <c r="H25" s="58"/>
      <c r="I25" s="23"/>
      <c r="J25" s="24" t="s">
        <v>1801</v>
      </c>
      <c r="M25" s="4"/>
      <c r="N25" s="78"/>
      <c r="O25" s="78"/>
      <c r="P25" s="78" t="str">
        <f t="shared" si="4"/>
        <v>,koi_meisai_kubun</v>
      </c>
      <c r="Q25" s="78" t="str">
        <f t="shared" si="0"/>
        <v>TEXT</v>
      </c>
      <c r="R25" s="78" t="str">
        <f t="shared" si="1"/>
        <v/>
      </c>
      <c r="S25" s="78" t="str">
        <f t="shared" si="5"/>
        <v/>
      </c>
      <c r="T25" s="78" t="str">
        <f t="shared" si="6"/>
        <v>-- 行為明細区分情報</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milscm_2023_010.azn_202310_base_mart_shohou.koi_meisai_kubun IS '行為明細区分情報';</v>
      </c>
    </row>
    <row r="26" spans="1:45" s="25" customFormat="1">
      <c r="A26" s="4"/>
      <c r="B26" s="21">
        <f t="shared" si="2"/>
        <v>14</v>
      </c>
      <c r="C26" s="13" t="s">
        <v>1794</v>
      </c>
      <c r="D26" s="13" t="s">
        <v>133</v>
      </c>
      <c r="E26" s="7"/>
      <c r="F26" s="7" t="s">
        <v>1789</v>
      </c>
      <c r="G26" s="7" t="str">
        <f t="shared" si="3"/>
        <v>numeric</v>
      </c>
      <c r="H26" s="58"/>
      <c r="I26" s="23"/>
      <c r="J26" s="24" t="s">
        <v>1801</v>
      </c>
      <c r="M26" s="4"/>
      <c r="N26" s="78"/>
      <c r="O26" s="78"/>
      <c r="P26" s="78" t="str">
        <f t="shared" si="4"/>
        <v>,koi_times</v>
      </c>
      <c r="Q26" s="78" t="str">
        <f t="shared" si="0"/>
        <v>NUMERIC</v>
      </c>
      <c r="R26" s="78" t="str">
        <f t="shared" si="1"/>
        <v/>
      </c>
      <c r="S26" s="78" t="str">
        <f t="shared" si="5"/>
        <v/>
      </c>
      <c r="T26" s="78" t="str">
        <f t="shared" si="6"/>
        <v>-- 行為回数</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milscm_2023_010.azn_202310_base_mart_shohou.koi_times IS '行為回数';</v>
      </c>
    </row>
    <row r="27" spans="1:45" s="25" customFormat="1">
      <c r="A27" s="4"/>
      <c r="B27" s="21">
        <f t="shared" si="2"/>
        <v>15</v>
      </c>
      <c r="C27" s="13" t="s">
        <v>1795</v>
      </c>
      <c r="D27" s="13" t="s">
        <v>234</v>
      </c>
      <c r="E27" s="7"/>
      <c r="F27" s="7" t="s">
        <v>1782</v>
      </c>
      <c r="G27" s="7" t="str">
        <f t="shared" si="3"/>
        <v>text</v>
      </c>
      <c r="H27" s="58"/>
      <c r="I27" s="23"/>
      <c r="J27" s="24" t="s">
        <v>1801</v>
      </c>
      <c r="M27" s="4"/>
      <c r="N27" s="78"/>
      <c r="O27" s="78"/>
      <c r="P27" s="78" t="str">
        <f t="shared" si="4"/>
        <v>,receipt_type_code</v>
      </c>
      <c r="Q27" s="78" t="str">
        <f t="shared" si="0"/>
        <v>TEXT</v>
      </c>
      <c r="R27" s="78" t="str">
        <f t="shared" si="1"/>
        <v/>
      </c>
      <c r="S27" s="78" t="str">
        <f t="shared" si="5"/>
        <v/>
      </c>
      <c r="T27" s="78" t="str">
        <f t="shared" si="6"/>
        <v>-- レセプト種別コード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milscm_2023_010.azn_202310_base_mart_shohou.receipt_type_code IS 'レセプト種別コード';</v>
      </c>
    </row>
    <row r="28" spans="1:45" s="25" customFormat="1">
      <c r="A28" s="4"/>
      <c r="B28" s="21">
        <f t="shared" si="2"/>
        <v>16</v>
      </c>
      <c r="C28" s="13" t="s">
        <v>1796</v>
      </c>
      <c r="D28" s="13" t="s">
        <v>155</v>
      </c>
      <c r="E28" s="7" t="s">
        <v>127</v>
      </c>
      <c r="F28" s="7" t="s">
        <v>1782</v>
      </c>
      <c r="G28" s="7" t="str">
        <f t="shared" si="3"/>
        <v>text</v>
      </c>
      <c r="H28" s="58"/>
      <c r="I28" s="23" t="s">
        <v>127</v>
      </c>
      <c r="J28" s="24" t="s">
        <v>1801</v>
      </c>
      <c r="M28" s="4"/>
      <c r="N28" s="78"/>
      <c r="O28" s="78"/>
      <c r="P28" s="78" t="str">
        <f t="shared" si="4"/>
        <v>,jisshi_ymd</v>
      </c>
      <c r="Q28" s="78" t="str">
        <f t="shared" si="0"/>
        <v>TEXT</v>
      </c>
      <c r="R28" s="78" t="str">
        <f t="shared" si="1"/>
        <v/>
      </c>
      <c r="S28" s="78" t="str">
        <f t="shared" si="5"/>
        <v>NOT NULL</v>
      </c>
      <c r="T28" s="78" t="str">
        <f t="shared" si="6"/>
        <v>-- 実施年月日</v>
      </c>
      <c r="U28" s="4"/>
      <c r="AA28" s="4"/>
      <c r="AB28" s="4"/>
      <c r="AC28" s="4"/>
      <c r="AD28" s="4"/>
      <c r="AE28" s="4"/>
      <c r="AF28" s="4"/>
      <c r="AG28" s="4"/>
      <c r="AH28" s="4"/>
      <c r="AI28" s="4"/>
      <c r="AJ28" s="78" t="str">
        <f>IF(E28="○",IF(COUNTA(E$13:E28)=1,"",",")&amp;D28,"")</f>
        <v>,jisshi_ymd</v>
      </c>
      <c r="AK28" s="4"/>
      <c r="AL28" s="4"/>
      <c r="AM28" s="4"/>
      <c r="AN28" s="4"/>
      <c r="AO28" s="4"/>
      <c r="AP28" s="4"/>
      <c r="AQ28" s="4"/>
      <c r="AR28" s="4"/>
      <c r="AS28" s="78" t="str">
        <f>"COMMENT ON COLUMN "&amp;エンティティ一覧!$O$2&amp;"."&amp;D$8&amp;"."&amp;D28&amp;" IS '"&amp;C28&amp;"';"</f>
        <v>COMMENT ON COLUMN milscm_2023_010.azn_202310_base_mart_shohou.jisshi_ymd IS '実施年月日';</v>
      </c>
    </row>
    <row r="29" spans="1:45" s="25" customFormat="1">
      <c r="A29" s="4"/>
      <c r="B29" s="21">
        <f t="shared" si="2"/>
        <v>17</v>
      </c>
      <c r="C29" s="13" t="s">
        <v>1797</v>
      </c>
      <c r="D29" s="13" t="s">
        <v>236</v>
      </c>
      <c r="E29" s="7"/>
      <c r="F29" s="7" t="s">
        <v>1782</v>
      </c>
      <c r="G29" s="7" t="str">
        <f t="shared" si="3"/>
        <v>text</v>
      </c>
      <c r="H29" s="58"/>
      <c r="I29" s="23"/>
      <c r="J29" s="24" t="s">
        <v>1801</v>
      </c>
      <c r="M29" s="4"/>
      <c r="N29" s="78"/>
      <c r="O29" s="78"/>
      <c r="P29" s="78" t="str">
        <f t="shared" si="4"/>
        <v>,receipt_ka_kubun</v>
      </c>
      <c r="Q29" s="78" t="str">
        <f t="shared" si="0"/>
        <v>TEXT</v>
      </c>
      <c r="R29" s="78" t="str">
        <f t="shared" si="1"/>
        <v/>
      </c>
      <c r="S29" s="78" t="str">
        <f t="shared" si="5"/>
        <v/>
      </c>
      <c r="T29" s="78" t="str">
        <f t="shared" si="6"/>
        <v>-- レセプト科区分</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milscm_2023_010.azn_202310_base_mart_shohou.receipt_ka_kubun IS 'レセプト科区分';</v>
      </c>
    </row>
    <row r="30" spans="1:45" s="25" customFormat="1">
      <c r="A30" s="4"/>
      <c r="B30" s="21">
        <f t="shared" si="2"/>
        <v>18</v>
      </c>
      <c r="C30" s="13" t="s">
        <v>134</v>
      </c>
      <c r="D30" s="13" t="s">
        <v>135</v>
      </c>
      <c r="E30" s="7"/>
      <c r="F30" s="7" t="s">
        <v>1782</v>
      </c>
      <c r="G30" s="7" t="str">
        <f t="shared" si="3"/>
        <v>text</v>
      </c>
      <c r="H30" s="58"/>
      <c r="I30" s="23"/>
      <c r="J30" s="24" t="s">
        <v>1801</v>
      </c>
      <c r="M30" s="4"/>
      <c r="N30" s="78"/>
      <c r="O30" s="78"/>
      <c r="P30" s="78" t="str">
        <f t="shared" si="4"/>
        <v>,department_kubun</v>
      </c>
      <c r="Q30" s="78" t="str">
        <f t="shared" si="0"/>
        <v>TEXT</v>
      </c>
      <c r="R30" s="78" t="str">
        <f t="shared" si="1"/>
        <v/>
      </c>
      <c r="S30" s="78" t="str">
        <f t="shared" si="5"/>
        <v/>
      </c>
      <c r="T30" s="78" t="str">
        <f t="shared" si="6"/>
        <v>-- 診療科区分</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milscm_2023_010.azn_202310_base_mart_shohou.department_kubun IS '診療科区分';</v>
      </c>
    </row>
    <row r="31" spans="1:45" s="25" customFormat="1" ht="37.5">
      <c r="A31" s="4"/>
      <c r="B31" s="21">
        <f t="shared" si="2"/>
        <v>19</v>
      </c>
      <c r="C31" s="13" t="s">
        <v>1798</v>
      </c>
      <c r="D31" s="13" t="s">
        <v>244</v>
      </c>
      <c r="E31" s="7"/>
      <c r="F31" s="7" t="s">
        <v>1782</v>
      </c>
      <c r="G31" s="7" t="str">
        <f t="shared" si="3"/>
        <v>text</v>
      </c>
      <c r="H31" s="58"/>
      <c r="I31" s="23"/>
      <c r="J31" s="24" t="s">
        <v>1805</v>
      </c>
      <c r="M31" s="4"/>
      <c r="N31" s="78"/>
      <c r="O31" s="78"/>
      <c r="P31" s="78" t="str">
        <f t="shared" si="4"/>
        <v>,nyugai_kubun</v>
      </c>
      <c r="Q31" s="78" t="str">
        <f t="shared" si="0"/>
        <v>TEXT</v>
      </c>
      <c r="R31" s="78" t="str">
        <f t="shared" si="1"/>
        <v/>
      </c>
      <c r="S31" s="78" t="str">
        <f t="shared" si="5"/>
        <v/>
      </c>
      <c r="T31" s="78" t="str">
        <f t="shared" si="6"/>
        <v>-- 入外区分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milscm_2023_010.azn_202310_base_mart_shohou.nyugai_kubun IS '入外区分';</v>
      </c>
    </row>
    <row r="32" spans="1:45" s="25" customFormat="1" ht="19.5" thickBot="1">
      <c r="A32" s="4"/>
      <c r="B32" s="27">
        <f>ROW()-12</f>
        <v>20</v>
      </c>
      <c r="C32" s="57" t="s">
        <v>1799</v>
      </c>
      <c r="D32" s="57" t="s">
        <v>1800</v>
      </c>
      <c r="E32" s="56" t="s">
        <v>127</v>
      </c>
      <c r="F32" s="56" t="s">
        <v>205</v>
      </c>
      <c r="G32" s="56" t="str">
        <f t="shared" si="3"/>
        <v>integer</v>
      </c>
      <c r="H32" s="59"/>
      <c r="I32" s="60"/>
      <c r="J32" s="64" t="s">
        <v>1806</v>
      </c>
      <c r="N32" s="78"/>
      <c r="O32" s="78"/>
      <c r="P32" s="78" t="str">
        <f t="shared" si="4"/>
        <v>,seq_no</v>
      </c>
      <c r="Q32" s="78" t="str">
        <f t="shared" si="0"/>
        <v>INTEGER</v>
      </c>
      <c r="R32" s="78" t="str">
        <f t="shared" si="1"/>
        <v/>
      </c>
      <c r="S32" s="78" t="str">
        <f t="shared" si="5"/>
        <v/>
      </c>
      <c r="T32" s="78" t="str">
        <f t="shared" si="6"/>
        <v>-- シーケンス番号</v>
      </c>
      <c r="U32" s="4"/>
      <c r="AA32" s="4"/>
      <c r="AB32" s="4"/>
      <c r="AC32" s="4"/>
      <c r="AD32" s="4"/>
      <c r="AE32" s="4"/>
      <c r="AF32" s="4"/>
      <c r="AG32" s="4"/>
      <c r="AH32" s="4"/>
      <c r="AI32" s="4"/>
      <c r="AJ32" s="78" t="str">
        <f>IF(E32="○",IF(COUNTA(E$13:E32)=1,"",",")&amp;D32,"")</f>
        <v>,seq_no</v>
      </c>
      <c r="AK32" s="4"/>
      <c r="AL32" s="4"/>
      <c r="AM32" s="4"/>
      <c r="AN32" s="4"/>
      <c r="AO32" s="4"/>
      <c r="AP32" s="4"/>
      <c r="AQ32" s="4"/>
      <c r="AR32" s="4"/>
      <c r="AS32" s="78" t="str">
        <f>"COMMENT ON COLUMN "&amp;エンティティ一覧!$O$2&amp;"."&amp;D$8&amp;"."&amp;D32&amp;" IS '"&amp;C32&amp;"';"</f>
        <v>COMMENT ON COLUMN milscm_2023_010.azn_202310_base_mart_shohou.seq_no IS 'シーケンス番号';</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700-000000000000}"/>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AZ58"/>
  <sheetViews>
    <sheetView showGridLines="0" zoomScale="85" zoomScaleNormal="85" workbookViewId="0">
      <selection activeCell="D8" sqref="D8:J8"/>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ENT_31_02</v>
      </c>
      <c r="E6" s="239"/>
      <c r="F6" s="239"/>
      <c r="G6" s="239"/>
      <c r="H6" s="239"/>
      <c r="I6" s="239"/>
      <c r="J6" s="240"/>
    </row>
    <row r="7" spans="1:45">
      <c r="B7" s="228" t="s">
        <v>115</v>
      </c>
      <c r="C7" s="229"/>
      <c r="D7" s="230" t="s">
        <v>3745</v>
      </c>
      <c r="E7" s="231"/>
      <c r="F7" s="231"/>
      <c r="G7" s="231"/>
      <c r="H7" s="231"/>
      <c r="I7" s="231"/>
      <c r="J7" s="232"/>
    </row>
    <row r="8" spans="1:45">
      <c r="B8" s="228" t="s">
        <v>116</v>
      </c>
      <c r="C8" s="229"/>
      <c r="D8" s="230" t="str">
        <f>エンティティ一覧!AE2&amp;"_"&amp;D5&amp;"_mart_shinryou_koui"</f>
        <v>azn_202310_base_mart_shinryou_koui</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バックアップ_診療行為データテーブルから対象患者で絞り込んだ結果を格納するテーブル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milscm_2023_010.azn_202310_base_mart_shinryou_koui;</v>
      </c>
      <c r="O10" s="78"/>
      <c r="P10" s="78"/>
      <c r="Q10" s="78"/>
      <c r="R10" s="78"/>
      <c r="S10" s="78"/>
      <c r="T10" s="78"/>
      <c r="AJ10" s="78" t="str">
        <f>"ALTER TABLE ONLY "&amp;エンティティ一覧!$O$2&amp;"."&amp;D$8</f>
        <v>ALTER TABLE ONLY milscm_2023_010.azn_202310_base_mart_shinryou_koui</v>
      </c>
      <c r="AS10" s="78" t="str">
        <f>"ALTER TABLE "&amp;エンティティ一覧!$O$2&amp;"."&amp;D$8&amp;" OWNER TO pgmisgrp1;"</f>
        <v>ALTER TABLE milscm_2023_010.azn_202310_base_mart_shinryou_koui OWNER TO pgmisgrp1;</v>
      </c>
    </row>
    <row r="11" spans="1:45" ht="19.5" thickBot="1">
      <c r="B11" s="20" t="s">
        <v>118</v>
      </c>
      <c r="C11" s="19"/>
      <c r="D11" s="5"/>
      <c r="E11" s="5"/>
      <c r="F11" s="5"/>
      <c r="G11" s="5"/>
      <c r="H11" s="5"/>
      <c r="I11" s="5"/>
      <c r="J11" s="18"/>
      <c r="N11" s="78" t="str">
        <f>"CREATE TABLE  "&amp;エンティティ一覧!$O$2&amp;"."&amp;D$8</f>
        <v>CREATE TABLE  milscm_2023_010.azn_202310_base_mart_shinryou_koui</v>
      </c>
      <c r="O11" s="78"/>
      <c r="P11" s="78"/>
      <c r="Q11" s="78"/>
      <c r="R11" s="78"/>
      <c r="S11" s="78"/>
      <c r="T11" s="78"/>
      <c r="AJ11" s="78" t="str">
        <f>"ADD CONSTRAINT "&amp;D$8&amp;"_pkey PRIMARY KEY"</f>
        <v>ADD CONSTRAINT azn_202310_base_mart_shinryou_koui_pkey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milscm_2023_010.azn_202310_base_mart_shinryou_koui IS 'ベース_診療行為データ';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1801</v>
      </c>
      <c r="M13" s="4"/>
      <c r="N13" s="78"/>
      <c r="O13" s="78"/>
      <c r="P13" s="78" t="str">
        <f>IF(B13&lt;&gt;1,","&amp;D13,D13)</f>
        <v>shikibetsu_no</v>
      </c>
      <c r="Q13" s="78" t="str">
        <f t="shared" ref="Q13:Q36" si="0">UPPER(G13)</f>
        <v>TEXT</v>
      </c>
      <c r="R13" s="78" t="str">
        <f t="shared" ref="R13:R36"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milscm_2023_010.azn_202310_base_mart_shinryou_koui.shikibetsu_no IS 'データ識別番号';</v>
      </c>
    </row>
    <row r="14" spans="1:45" s="25" customFormat="1">
      <c r="A14" s="4"/>
      <c r="B14" s="21">
        <f t="shared" ref="B14:B35" si="2">ROW()-12</f>
        <v>2</v>
      </c>
      <c r="C14" s="6" t="s">
        <v>137</v>
      </c>
      <c r="D14" s="6" t="s">
        <v>128</v>
      </c>
      <c r="E14" s="8" t="s">
        <v>127</v>
      </c>
      <c r="F14" s="7" t="s">
        <v>1782</v>
      </c>
      <c r="G14" s="7" t="str">
        <f t="shared" ref="G14:G36" si="3">IF(F14="フラグ","boolean",IF(F14="文字列","text",IF(F14="整数","integer",IF(F14="実数","numeric",""))))</f>
        <v>text</v>
      </c>
      <c r="H14" s="26"/>
      <c r="I14" s="10" t="s">
        <v>127</v>
      </c>
      <c r="J14" s="11" t="s">
        <v>1801</v>
      </c>
      <c r="M14" s="4"/>
      <c r="N14" s="78"/>
      <c r="O14" s="78"/>
      <c r="P14" s="78" t="str">
        <f t="shared" ref="P14:P36" si="4">IF(B14&lt;&gt;1,","&amp;D14,D14)</f>
        <v>,facility_id</v>
      </c>
      <c r="Q14" s="78" t="str">
        <f t="shared" si="0"/>
        <v>TEXT</v>
      </c>
      <c r="R14" s="78" t="str">
        <f t="shared" si="1"/>
        <v/>
      </c>
      <c r="S14" s="78" t="str">
        <f>IF(I14="○","NOT NULL","")</f>
        <v>NOT NULL</v>
      </c>
      <c r="T14" s="78" t="str">
        <f>"--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milscm_2023_010.azn_202310_base_mart_shinryou_koui.facility_id IS '施設ID';</v>
      </c>
    </row>
    <row r="15" spans="1:45" s="25" customFormat="1">
      <c r="A15" s="4"/>
      <c r="B15" s="21">
        <f t="shared" si="2"/>
        <v>3</v>
      </c>
      <c r="C15" s="13" t="s">
        <v>1783</v>
      </c>
      <c r="D15" s="13" t="s">
        <v>207</v>
      </c>
      <c r="E15" s="7" t="s">
        <v>127</v>
      </c>
      <c r="F15" s="7" t="s">
        <v>1782</v>
      </c>
      <c r="G15" s="7" t="str">
        <f t="shared" si="3"/>
        <v>text</v>
      </c>
      <c r="H15" s="58"/>
      <c r="I15" s="23" t="s">
        <v>127</v>
      </c>
      <c r="J15" s="24" t="s">
        <v>1801</v>
      </c>
      <c r="M15" s="4"/>
      <c r="N15" s="78"/>
      <c r="O15" s="78"/>
      <c r="P15" s="78" t="str">
        <f t="shared" si="4"/>
        <v>,shinryo_ym</v>
      </c>
      <c r="Q15" s="78" t="str">
        <f t="shared" si="0"/>
        <v>TEXT</v>
      </c>
      <c r="R15" s="78" t="str">
        <f t="shared" si="1"/>
        <v/>
      </c>
      <c r="S15" s="78" t="str">
        <f t="shared" ref="S15:S36" si="5">IF(I15="○","NOT NULL","")</f>
        <v>NOT NULL</v>
      </c>
      <c r="T15" s="78" t="str">
        <f t="shared" ref="T15:T36" si="6">"-- "&amp;C15</f>
        <v>-- 診療年月</v>
      </c>
      <c r="U15" s="4"/>
      <c r="AA15" s="4"/>
      <c r="AB15" s="4"/>
      <c r="AC15" s="4"/>
      <c r="AD15" s="4"/>
      <c r="AE15" s="4"/>
      <c r="AF15" s="4"/>
      <c r="AG15" s="4"/>
      <c r="AH15" s="4"/>
      <c r="AI15" s="4"/>
      <c r="AJ15" s="78" t="str">
        <f>IF(E15="○",IF(COUNTA(E$13:E15)=1,"",",")&amp;D15,"")</f>
        <v>,shinryo_ym</v>
      </c>
      <c r="AK15" s="4"/>
      <c r="AL15" s="4"/>
      <c r="AM15" s="4"/>
      <c r="AN15" s="4"/>
      <c r="AO15" s="4"/>
      <c r="AP15" s="4"/>
      <c r="AQ15" s="4"/>
      <c r="AR15" s="4"/>
      <c r="AS15" s="78" t="str">
        <f>"COMMENT ON COLUMN "&amp;エンティティ一覧!$O$2&amp;"."&amp;D$8&amp;"."&amp;D15&amp;" IS '"&amp;C15&amp;"';"</f>
        <v>COMMENT ON COLUMN milscm_2023_010.azn_202310_base_mart_shinryou_koui.shinryo_ym IS '診療年月';</v>
      </c>
    </row>
    <row r="16" spans="1:45" s="25" customFormat="1">
      <c r="A16" s="4"/>
      <c r="B16" s="21">
        <f t="shared" si="2"/>
        <v>4</v>
      </c>
      <c r="C16" s="13" t="s">
        <v>1784</v>
      </c>
      <c r="D16" s="13" t="s">
        <v>215</v>
      </c>
      <c r="E16" s="7" t="s">
        <v>127</v>
      </c>
      <c r="F16" s="7" t="s">
        <v>1782</v>
      </c>
      <c r="G16" s="7" t="str">
        <f t="shared" si="3"/>
        <v>text</v>
      </c>
      <c r="H16" s="58"/>
      <c r="I16" s="23" t="s">
        <v>127</v>
      </c>
      <c r="J16" s="24" t="s">
        <v>1801</v>
      </c>
      <c r="M16" s="4"/>
      <c r="N16" s="78"/>
      <c r="O16" s="78"/>
      <c r="P16" s="78" t="str">
        <f t="shared" si="4"/>
        <v>,data_kubun</v>
      </c>
      <c r="Q16" s="78" t="str">
        <f t="shared" si="0"/>
        <v>TEXT</v>
      </c>
      <c r="R16" s="78" t="str">
        <f t="shared" si="1"/>
        <v/>
      </c>
      <c r="S16" s="78" t="str">
        <f t="shared" si="5"/>
        <v>NOT NULL</v>
      </c>
      <c r="T16" s="78" t="str">
        <f t="shared" si="6"/>
        <v>-- データ区分</v>
      </c>
      <c r="U16" s="4"/>
      <c r="AA16" s="4"/>
      <c r="AB16" s="4"/>
      <c r="AC16" s="4"/>
      <c r="AD16" s="4"/>
      <c r="AE16" s="4"/>
      <c r="AF16" s="4"/>
      <c r="AG16" s="4"/>
      <c r="AH16" s="4"/>
      <c r="AI16" s="4"/>
      <c r="AJ16" s="78" t="str">
        <f>IF(E16="○",IF(COUNTA(E$13:E16)=1,"",",")&amp;D16,"")</f>
        <v>,data_kubun</v>
      </c>
      <c r="AK16" s="4"/>
      <c r="AL16" s="4"/>
      <c r="AM16" s="4"/>
      <c r="AN16" s="4"/>
      <c r="AO16" s="4"/>
      <c r="AP16" s="4"/>
      <c r="AQ16" s="4"/>
      <c r="AR16" s="4"/>
      <c r="AS16" s="78" t="str">
        <f>"COMMENT ON COLUMN "&amp;エンティティ一覧!$O$2&amp;"."&amp;D$8&amp;"."&amp;D16&amp;" IS '"&amp;C16&amp;"';"</f>
        <v>COMMENT ON COLUMN milscm_2023_010.azn_202310_base_mart_shinryou_koui.data_kubun IS 'データ区分';</v>
      </c>
    </row>
    <row r="17" spans="1:45" s="25" customFormat="1">
      <c r="A17" s="4"/>
      <c r="B17" s="21">
        <f t="shared" si="2"/>
        <v>5</v>
      </c>
      <c r="C17" s="13" t="s">
        <v>1785</v>
      </c>
      <c r="D17" s="13" t="s">
        <v>217</v>
      </c>
      <c r="E17" s="7" t="s">
        <v>127</v>
      </c>
      <c r="F17" s="7" t="s">
        <v>1782</v>
      </c>
      <c r="G17" s="7" t="str">
        <f t="shared" si="3"/>
        <v>text</v>
      </c>
      <c r="H17" s="58"/>
      <c r="I17" s="23" t="s">
        <v>127</v>
      </c>
      <c r="J17" s="24" t="s">
        <v>1801</v>
      </c>
      <c r="M17" s="4"/>
      <c r="N17" s="78"/>
      <c r="O17" s="78"/>
      <c r="P17" s="78" t="str">
        <f t="shared" si="4"/>
        <v>,junjo_no</v>
      </c>
      <c r="Q17" s="78" t="str">
        <f t="shared" si="0"/>
        <v>TEXT</v>
      </c>
      <c r="R17" s="78" t="str">
        <f t="shared" si="1"/>
        <v/>
      </c>
      <c r="S17" s="78" t="str">
        <f t="shared" si="5"/>
        <v>NOT NULL</v>
      </c>
      <c r="T17" s="78" t="str">
        <f t="shared" si="6"/>
        <v>-- 順序番号</v>
      </c>
      <c r="U17" s="4"/>
      <c r="AA17" s="4"/>
      <c r="AB17" s="4"/>
      <c r="AC17" s="4"/>
      <c r="AD17" s="4"/>
      <c r="AE17" s="4"/>
      <c r="AF17" s="4"/>
      <c r="AG17" s="4"/>
      <c r="AH17" s="4"/>
      <c r="AI17" s="4"/>
      <c r="AJ17" s="78" t="str">
        <f>IF(E17="○",IF(COUNTA(E$13:E17)=1,"",",")&amp;D17,"")</f>
        <v>,junjo_no</v>
      </c>
      <c r="AK17" s="4"/>
      <c r="AL17" s="4"/>
      <c r="AM17" s="4"/>
      <c r="AN17" s="4"/>
      <c r="AO17" s="4"/>
      <c r="AP17" s="4"/>
      <c r="AQ17" s="4"/>
      <c r="AR17" s="4"/>
      <c r="AS17" s="78" t="str">
        <f>"COMMENT ON COLUMN "&amp;エンティティ一覧!$O$2&amp;"."&amp;D$8&amp;"."&amp;D17&amp;" IS '"&amp;C17&amp;"';"</f>
        <v>COMMENT ON COLUMN milscm_2023_010.azn_202310_base_mart_shinryou_koui.junjo_no IS '順序番号';</v>
      </c>
    </row>
    <row r="18" spans="1:45" s="25" customFormat="1" ht="37.5">
      <c r="A18" s="4"/>
      <c r="B18" s="21">
        <f t="shared" si="2"/>
        <v>6</v>
      </c>
      <c r="C18" s="13" t="s">
        <v>1786</v>
      </c>
      <c r="D18" s="13" t="s">
        <v>153</v>
      </c>
      <c r="E18" s="7" t="s">
        <v>127</v>
      </c>
      <c r="F18" s="7" t="s">
        <v>1782</v>
      </c>
      <c r="G18" s="7" t="str">
        <f t="shared" si="3"/>
        <v>text</v>
      </c>
      <c r="H18" s="58"/>
      <c r="I18" s="23" t="s">
        <v>127</v>
      </c>
      <c r="J18" s="24" t="s">
        <v>1802</v>
      </c>
      <c r="M18" s="4"/>
      <c r="N18" s="78"/>
      <c r="O18" s="78"/>
      <c r="P18" s="78" t="str">
        <f t="shared" si="4"/>
        <v>,koi_meisai_no</v>
      </c>
      <c r="Q18" s="78" t="str">
        <f t="shared" si="0"/>
        <v>TEXT</v>
      </c>
      <c r="R18" s="78" t="str">
        <f t="shared" si="1"/>
        <v/>
      </c>
      <c r="S18" s="78" t="str">
        <f t="shared" si="5"/>
        <v>NOT NULL</v>
      </c>
      <c r="T18" s="78" t="str">
        <f t="shared" si="6"/>
        <v>-- 行為明細番号</v>
      </c>
      <c r="U18" s="4"/>
      <c r="AA18" s="4"/>
      <c r="AB18" s="4"/>
      <c r="AC18" s="4"/>
      <c r="AD18" s="4"/>
      <c r="AE18" s="4"/>
      <c r="AF18" s="4"/>
      <c r="AG18" s="4"/>
      <c r="AH18" s="4"/>
      <c r="AI18" s="4"/>
      <c r="AJ18" s="78" t="str">
        <f>IF(E18="○",IF(COUNTA(E$13:E18)=1,"",",")&amp;D18,"")</f>
        <v>,koi_meisai_no</v>
      </c>
      <c r="AK18" s="4"/>
      <c r="AL18" s="4"/>
      <c r="AM18" s="4"/>
      <c r="AN18" s="4"/>
      <c r="AO18" s="4"/>
      <c r="AP18" s="4"/>
      <c r="AQ18" s="4"/>
      <c r="AR18" s="4"/>
      <c r="AS18" s="78" t="str">
        <f>"COMMENT ON COLUMN "&amp;エンティティ一覧!$O$2&amp;"."&amp;D$8&amp;"."&amp;D18&amp;" IS '"&amp;C18&amp;"';"</f>
        <v>COMMENT ON COLUMN milscm_2023_010.azn_202310_base_mart_shinryou_koui.koi_meisai_no IS '行為明細番号';</v>
      </c>
    </row>
    <row r="19" spans="1:45" s="25" customFormat="1" ht="37.5">
      <c r="A19" s="4"/>
      <c r="B19" s="21">
        <f t="shared" si="2"/>
        <v>7</v>
      </c>
      <c r="C19" s="13" t="s">
        <v>145</v>
      </c>
      <c r="D19" s="13" t="s">
        <v>154</v>
      </c>
      <c r="E19" s="7"/>
      <c r="F19" s="7" t="s">
        <v>1782</v>
      </c>
      <c r="G19" s="7" t="str">
        <f t="shared" si="3"/>
        <v>text</v>
      </c>
      <c r="H19" s="58"/>
      <c r="I19" s="23"/>
      <c r="J19" s="24" t="s">
        <v>1812</v>
      </c>
      <c r="M19" s="4"/>
      <c r="N19" s="78"/>
      <c r="O19" s="78"/>
      <c r="P19" s="78" t="str">
        <f t="shared" si="4"/>
        <v>,receipt_densan_code</v>
      </c>
      <c r="Q19" s="78" t="str">
        <f t="shared" si="0"/>
        <v>TEXT</v>
      </c>
      <c r="R19" s="78" t="str">
        <f t="shared" si="1"/>
        <v/>
      </c>
      <c r="S19" s="78" t="str">
        <f t="shared" si="5"/>
        <v/>
      </c>
      <c r="T19" s="78" t="str">
        <f t="shared" si="6"/>
        <v>-- レセプト電算処理システム用コード</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milscm_2023_010.azn_202310_base_mart_shinryou_koui.receipt_densan_code IS 'レセプト電算処理システム用コード';</v>
      </c>
    </row>
    <row r="20" spans="1:45" s="25" customFormat="1">
      <c r="A20" s="4"/>
      <c r="B20" s="21">
        <f t="shared" si="2"/>
        <v>8</v>
      </c>
      <c r="C20" s="13" t="s">
        <v>1787</v>
      </c>
      <c r="D20" s="13" t="s">
        <v>221</v>
      </c>
      <c r="E20" s="7"/>
      <c r="F20" s="7" t="s">
        <v>1782</v>
      </c>
      <c r="G20" s="7" t="str">
        <f t="shared" si="3"/>
        <v>text</v>
      </c>
      <c r="H20" s="58"/>
      <c r="I20" s="23"/>
      <c r="J20" s="24"/>
      <c r="M20" s="4"/>
      <c r="N20" s="78"/>
      <c r="O20" s="78"/>
      <c r="P20" s="78" t="str">
        <f t="shared" si="4"/>
        <v>,kaishaku_no</v>
      </c>
      <c r="Q20" s="78" t="str">
        <f t="shared" si="0"/>
        <v>TEXT</v>
      </c>
      <c r="R20" s="78" t="str">
        <f t="shared" si="1"/>
        <v/>
      </c>
      <c r="S20" s="78" t="str">
        <f t="shared" si="5"/>
        <v/>
      </c>
      <c r="T20" s="78" t="str">
        <f t="shared" si="6"/>
        <v>-- 解釈番号</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milscm_2023_010.azn_202310_base_mart_shinryou_koui.kaishaku_no IS '解釈番号';</v>
      </c>
    </row>
    <row r="21" spans="1:45" s="25" customFormat="1" ht="37.5">
      <c r="A21" s="4"/>
      <c r="B21" s="21">
        <f t="shared" si="2"/>
        <v>9</v>
      </c>
      <c r="C21" s="13" t="s">
        <v>1788</v>
      </c>
      <c r="D21" s="13" t="s">
        <v>129</v>
      </c>
      <c r="E21" s="7"/>
      <c r="F21" s="7" t="s">
        <v>1789</v>
      </c>
      <c r="G21" s="7" t="str">
        <f t="shared" si="3"/>
        <v>numeric</v>
      </c>
      <c r="H21" s="58"/>
      <c r="I21" s="23"/>
      <c r="J21" s="24" t="s">
        <v>150</v>
      </c>
      <c r="M21" s="4"/>
      <c r="N21" s="78"/>
      <c r="O21" s="78"/>
      <c r="P21" s="78" t="str">
        <f t="shared" si="4"/>
        <v>,shiyoryo</v>
      </c>
      <c r="Q21" s="78" t="str">
        <f t="shared" si="0"/>
        <v>NUMERIC</v>
      </c>
      <c r="R21" s="78" t="str">
        <f t="shared" si="1"/>
        <v/>
      </c>
      <c r="S21" s="78" t="str">
        <f t="shared" si="5"/>
        <v/>
      </c>
      <c r="T21" s="78" t="str">
        <f t="shared" si="6"/>
        <v>-- 使用量</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milscm_2023_010.azn_202310_base_mart_shinryou_koui.shiyoryo IS '使用量';</v>
      </c>
    </row>
    <row r="22" spans="1:45" s="25" customFormat="1">
      <c r="A22" s="4"/>
      <c r="B22" s="21">
        <f t="shared" si="2"/>
        <v>10</v>
      </c>
      <c r="C22" s="13" t="s">
        <v>1790</v>
      </c>
      <c r="D22" s="13" t="s">
        <v>277</v>
      </c>
      <c r="E22" s="7"/>
      <c r="F22" s="7" t="s">
        <v>1782</v>
      </c>
      <c r="G22" s="7" t="str">
        <f t="shared" si="3"/>
        <v>text</v>
      </c>
      <c r="H22" s="58"/>
      <c r="I22" s="23"/>
      <c r="J22" s="24" t="s">
        <v>1813</v>
      </c>
      <c r="M22" s="4"/>
      <c r="N22" s="78"/>
      <c r="O22" s="78"/>
      <c r="P22" s="78" t="str">
        <f t="shared" si="4"/>
        <v>,unit</v>
      </c>
      <c r="Q22" s="78" t="str">
        <f t="shared" si="0"/>
        <v>TEXT</v>
      </c>
      <c r="R22" s="78" t="str">
        <f t="shared" si="1"/>
        <v/>
      </c>
      <c r="S22" s="78" t="str">
        <f t="shared" si="5"/>
        <v/>
      </c>
      <c r="T22" s="78" t="str">
        <f t="shared" si="6"/>
        <v>-- 基準単位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milscm_2023_010.azn_202310_base_mart_shinryou_koui.unit IS '基準単位';</v>
      </c>
    </row>
    <row r="23" spans="1:45" s="25" customFormat="1">
      <c r="A23" s="4"/>
      <c r="B23" s="21">
        <f t="shared" si="2"/>
        <v>11</v>
      </c>
      <c r="C23" s="13" t="s">
        <v>1791</v>
      </c>
      <c r="D23" s="13" t="s">
        <v>130</v>
      </c>
      <c r="E23" s="7"/>
      <c r="F23" s="7" t="s">
        <v>1789</v>
      </c>
      <c r="G23" s="7" t="str">
        <f t="shared" si="3"/>
        <v>numeric</v>
      </c>
      <c r="H23" s="58"/>
      <c r="I23" s="23"/>
      <c r="J23" s="24" t="s">
        <v>1813</v>
      </c>
      <c r="M23" s="4"/>
      <c r="N23" s="78"/>
      <c r="O23" s="78"/>
      <c r="P23" s="78" t="str">
        <f t="shared" si="4"/>
        <v>,meisai_tensu</v>
      </c>
      <c r="Q23" s="78" t="str">
        <f t="shared" si="0"/>
        <v>NUMERIC</v>
      </c>
      <c r="R23" s="78" t="str">
        <f t="shared" si="1"/>
        <v/>
      </c>
      <c r="S23" s="78" t="str">
        <f t="shared" si="5"/>
        <v/>
      </c>
      <c r="T23" s="78" t="str">
        <f t="shared" si="6"/>
        <v>-- 明細点数・金額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milscm_2023_010.azn_202310_base_mart_shinryou_koui.meisai_tensu IS '明細点数・金額';</v>
      </c>
    </row>
    <row r="24" spans="1:45" s="25" customFormat="1" ht="37.5">
      <c r="A24" s="4"/>
      <c r="B24" s="21">
        <f t="shared" si="2"/>
        <v>12</v>
      </c>
      <c r="C24" s="13" t="s">
        <v>1792</v>
      </c>
      <c r="D24" s="13" t="s">
        <v>131</v>
      </c>
      <c r="E24" s="7"/>
      <c r="F24" s="7" t="s">
        <v>1782</v>
      </c>
      <c r="G24" s="7" t="str">
        <f t="shared" si="3"/>
        <v>text</v>
      </c>
      <c r="H24" s="58"/>
      <c r="I24" s="23"/>
      <c r="J24" s="24" t="s">
        <v>1804</v>
      </c>
      <c r="M24" s="4"/>
      <c r="N24" s="78"/>
      <c r="O24" s="78"/>
      <c r="P24" s="78" t="str">
        <f t="shared" si="4"/>
        <v>,ten_kubun</v>
      </c>
      <c r="Q24" s="78" t="str">
        <f t="shared" si="0"/>
        <v>TEXT</v>
      </c>
      <c r="R24" s="78" t="str">
        <f t="shared" si="1"/>
        <v/>
      </c>
      <c r="S24" s="78" t="str">
        <f t="shared" si="5"/>
        <v/>
      </c>
      <c r="T24" s="78" t="str">
        <f t="shared" si="6"/>
        <v>-- 円・点区分</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milscm_2023_010.azn_202310_base_mart_shinryou_koui.ten_kubun IS '円・点区分';</v>
      </c>
    </row>
    <row r="25" spans="1:45" s="25" customFormat="1">
      <c r="A25" s="4"/>
      <c r="B25" s="21">
        <f t="shared" si="2"/>
        <v>13</v>
      </c>
      <c r="C25" s="13" t="s">
        <v>1808</v>
      </c>
      <c r="D25" s="13" t="s">
        <v>281</v>
      </c>
      <c r="E25" s="7"/>
      <c r="F25" s="7" t="s">
        <v>1789</v>
      </c>
      <c r="G25" s="7" t="str">
        <f t="shared" si="3"/>
        <v>numeric</v>
      </c>
      <c r="H25" s="58"/>
      <c r="I25" s="23"/>
      <c r="J25" s="24" t="s">
        <v>1813</v>
      </c>
      <c r="M25" s="4"/>
      <c r="N25" s="78"/>
      <c r="O25" s="78"/>
      <c r="P25" s="78" t="str">
        <f t="shared" si="4"/>
        <v>,dekidaka_tensu</v>
      </c>
      <c r="Q25" s="78" t="str">
        <f t="shared" si="0"/>
        <v>NUMERIC</v>
      </c>
      <c r="R25" s="78" t="str">
        <f t="shared" si="1"/>
        <v/>
      </c>
      <c r="S25" s="78" t="str">
        <f t="shared" si="5"/>
        <v/>
      </c>
      <c r="T25" s="78" t="str">
        <f t="shared" si="6"/>
        <v>-- 出来高実績点数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milscm_2023_010.azn_202310_base_mart_shinryou_koui.dekidaka_tensu IS '出来高実績点数';</v>
      </c>
    </row>
    <row r="26" spans="1:45" s="25" customFormat="1" ht="56.25">
      <c r="A26" s="4"/>
      <c r="B26" s="21">
        <f t="shared" si="2"/>
        <v>14</v>
      </c>
      <c r="C26" s="13" t="s">
        <v>1793</v>
      </c>
      <c r="D26" s="13" t="s">
        <v>132</v>
      </c>
      <c r="E26" s="7"/>
      <c r="F26" s="7" t="s">
        <v>1782</v>
      </c>
      <c r="G26" s="7" t="str">
        <f t="shared" si="3"/>
        <v>text</v>
      </c>
      <c r="H26" s="58"/>
      <c r="I26" s="23"/>
      <c r="J26" s="24" t="s">
        <v>1814</v>
      </c>
      <c r="M26" s="4"/>
      <c r="N26" s="78"/>
      <c r="O26" s="78"/>
      <c r="P26" s="78" t="str">
        <f t="shared" si="4"/>
        <v>,koi_meisai_kubun</v>
      </c>
      <c r="Q26" s="78" t="str">
        <f t="shared" si="0"/>
        <v>TEXT</v>
      </c>
      <c r="R26" s="78" t="str">
        <f t="shared" si="1"/>
        <v/>
      </c>
      <c r="S26" s="78" t="str">
        <f t="shared" si="5"/>
        <v/>
      </c>
      <c r="T26" s="78" t="str">
        <f t="shared" si="6"/>
        <v>-- 行為明細区分情報</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milscm_2023_010.azn_202310_base_mart_shinryou_koui.koi_meisai_kubun IS '行為明細区分情報';</v>
      </c>
    </row>
    <row r="27" spans="1:45" s="25" customFormat="1" ht="37.5">
      <c r="A27" s="4"/>
      <c r="B27" s="21">
        <f t="shared" si="2"/>
        <v>15</v>
      </c>
      <c r="C27" s="13" t="s">
        <v>1809</v>
      </c>
      <c r="D27" s="13" t="s">
        <v>225</v>
      </c>
      <c r="E27" s="7"/>
      <c r="F27" s="7" t="s">
        <v>1789</v>
      </c>
      <c r="G27" s="7" t="str">
        <f t="shared" si="3"/>
        <v>numeric</v>
      </c>
      <c r="H27" s="58"/>
      <c r="I27" s="23"/>
      <c r="J27" s="24" t="s">
        <v>1815</v>
      </c>
      <c r="M27" s="4"/>
      <c r="N27" s="78"/>
      <c r="O27" s="78"/>
      <c r="P27" s="78" t="str">
        <f t="shared" si="4"/>
        <v>,koi_tensu</v>
      </c>
      <c r="Q27" s="78" t="str">
        <f t="shared" si="0"/>
        <v>NUMERIC</v>
      </c>
      <c r="R27" s="78" t="str">
        <f t="shared" si="1"/>
        <v/>
      </c>
      <c r="S27" s="78" t="str">
        <f t="shared" si="5"/>
        <v/>
      </c>
      <c r="T27" s="78" t="str">
        <f t="shared" si="6"/>
        <v>-- 行為点数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milscm_2023_010.azn_202310_base_mart_shinryou_koui.koi_tensu IS '行為点数';</v>
      </c>
    </row>
    <row r="28" spans="1:45" s="25" customFormat="1">
      <c r="A28" s="4"/>
      <c r="B28" s="21">
        <f t="shared" si="2"/>
        <v>16</v>
      </c>
      <c r="C28" s="13" t="s">
        <v>1810</v>
      </c>
      <c r="D28" s="13" t="s">
        <v>228</v>
      </c>
      <c r="E28" s="7"/>
      <c r="F28" s="7" t="s">
        <v>1789</v>
      </c>
      <c r="G28" s="7" t="str">
        <f t="shared" si="3"/>
        <v>numeric</v>
      </c>
      <c r="H28" s="58"/>
      <c r="I28" s="23"/>
      <c r="J28" s="24" t="s">
        <v>1813</v>
      </c>
      <c r="M28" s="4"/>
      <c r="N28" s="78"/>
      <c r="O28" s="78"/>
      <c r="P28" s="78" t="str">
        <f t="shared" si="4"/>
        <v>,koi_yakuzai</v>
      </c>
      <c r="Q28" s="78" t="str">
        <f t="shared" si="0"/>
        <v>NUMERIC</v>
      </c>
      <c r="R28" s="78" t="str">
        <f t="shared" si="1"/>
        <v/>
      </c>
      <c r="S28" s="78" t="str">
        <f t="shared" si="5"/>
        <v/>
      </c>
      <c r="T28" s="78" t="str">
        <f t="shared" si="6"/>
        <v>-- 行為薬剤料</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milscm_2023_010.azn_202310_base_mart_shinryou_koui.koi_yakuzai IS '行為薬剤料';</v>
      </c>
    </row>
    <row r="29" spans="1:45" s="25" customFormat="1">
      <c r="A29" s="4"/>
      <c r="B29" s="21">
        <f t="shared" si="2"/>
        <v>17</v>
      </c>
      <c r="C29" s="13" t="s">
        <v>1811</v>
      </c>
      <c r="D29" s="13" t="s">
        <v>230</v>
      </c>
      <c r="E29" s="7"/>
      <c r="F29" s="7" t="s">
        <v>1789</v>
      </c>
      <c r="G29" s="7" t="str">
        <f t="shared" si="3"/>
        <v>numeric</v>
      </c>
      <c r="H29" s="58"/>
      <c r="I29" s="23"/>
      <c r="J29" s="24" t="s">
        <v>1813</v>
      </c>
      <c r="M29" s="4"/>
      <c r="N29" s="78"/>
      <c r="O29" s="78"/>
      <c r="P29" s="78" t="str">
        <f t="shared" si="4"/>
        <v>,koi_zairyo</v>
      </c>
      <c r="Q29" s="78" t="str">
        <f t="shared" si="0"/>
        <v>NUMERIC</v>
      </c>
      <c r="R29" s="78" t="str">
        <f t="shared" si="1"/>
        <v/>
      </c>
      <c r="S29" s="78" t="str">
        <f t="shared" si="5"/>
        <v/>
      </c>
      <c r="T29" s="78" t="str">
        <f t="shared" si="6"/>
        <v>-- 行為材料料</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milscm_2023_010.azn_202310_base_mart_shinryou_koui.koi_zairyo IS '行為材料料';</v>
      </c>
    </row>
    <row r="30" spans="1:45" s="25" customFormat="1">
      <c r="A30" s="4"/>
      <c r="B30" s="21">
        <f t="shared" si="2"/>
        <v>18</v>
      </c>
      <c r="C30" s="13" t="s">
        <v>1794</v>
      </c>
      <c r="D30" s="13" t="s">
        <v>133</v>
      </c>
      <c r="E30" s="7"/>
      <c r="F30" s="7" t="s">
        <v>1789</v>
      </c>
      <c r="G30" s="7" t="str">
        <f t="shared" si="3"/>
        <v>numeric</v>
      </c>
      <c r="H30" s="58"/>
      <c r="I30" s="23"/>
      <c r="J30" s="24" t="s">
        <v>1813</v>
      </c>
      <c r="M30" s="4"/>
      <c r="N30" s="78"/>
      <c r="O30" s="78"/>
      <c r="P30" s="78" t="str">
        <f t="shared" si="4"/>
        <v>,koi_times</v>
      </c>
      <c r="Q30" s="78" t="str">
        <f t="shared" si="0"/>
        <v>NUMERIC</v>
      </c>
      <c r="R30" s="78" t="str">
        <f t="shared" si="1"/>
        <v/>
      </c>
      <c r="S30" s="78" t="str">
        <f t="shared" si="5"/>
        <v/>
      </c>
      <c r="T30" s="78" t="str">
        <f t="shared" si="6"/>
        <v>-- 行為回数</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milscm_2023_010.azn_202310_base_mart_shinryou_koui.koi_times IS '行為回数';</v>
      </c>
    </row>
    <row r="31" spans="1:45" s="25" customFormat="1">
      <c r="A31" s="4"/>
      <c r="B31" s="21">
        <f t="shared" si="2"/>
        <v>19</v>
      </c>
      <c r="C31" s="13" t="s">
        <v>1795</v>
      </c>
      <c r="D31" s="13" t="s">
        <v>234</v>
      </c>
      <c r="E31" s="7"/>
      <c r="F31" s="7" t="s">
        <v>1782</v>
      </c>
      <c r="G31" s="7" t="str">
        <f t="shared" si="3"/>
        <v>text</v>
      </c>
      <c r="H31" s="58"/>
      <c r="I31" s="23"/>
      <c r="J31" s="24" t="s">
        <v>1813</v>
      </c>
      <c r="M31" s="4"/>
      <c r="N31" s="78"/>
      <c r="O31" s="78"/>
      <c r="P31" s="78" t="str">
        <f t="shared" si="4"/>
        <v>,receipt_type_code</v>
      </c>
      <c r="Q31" s="78" t="str">
        <f t="shared" si="0"/>
        <v>TEXT</v>
      </c>
      <c r="R31" s="78" t="str">
        <f t="shared" si="1"/>
        <v/>
      </c>
      <c r="S31" s="78" t="str">
        <f t="shared" si="5"/>
        <v/>
      </c>
      <c r="T31" s="78" t="str">
        <f t="shared" si="6"/>
        <v>-- レセプト種別コード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milscm_2023_010.azn_202310_base_mart_shinryou_koui.receipt_type_code IS 'レセプト種別コード';</v>
      </c>
    </row>
    <row r="32" spans="1:45" s="25" customFormat="1">
      <c r="A32" s="4"/>
      <c r="B32" s="21">
        <f t="shared" si="2"/>
        <v>20</v>
      </c>
      <c r="C32" s="13" t="s">
        <v>1796</v>
      </c>
      <c r="D32" s="13" t="s">
        <v>155</v>
      </c>
      <c r="E32" s="7" t="s">
        <v>127</v>
      </c>
      <c r="F32" s="7" t="s">
        <v>1782</v>
      </c>
      <c r="G32" s="7" t="str">
        <f t="shared" si="3"/>
        <v>text</v>
      </c>
      <c r="H32" s="58"/>
      <c r="I32" s="23" t="s">
        <v>127</v>
      </c>
      <c r="J32" s="24" t="s">
        <v>1813</v>
      </c>
      <c r="M32" s="4"/>
      <c r="N32" s="78"/>
      <c r="O32" s="78"/>
      <c r="P32" s="78" t="str">
        <f t="shared" si="4"/>
        <v>,jisshi_ymd</v>
      </c>
      <c r="Q32" s="78" t="str">
        <f t="shared" si="0"/>
        <v>TEXT</v>
      </c>
      <c r="R32" s="78" t="str">
        <f t="shared" si="1"/>
        <v/>
      </c>
      <c r="S32" s="78" t="str">
        <f t="shared" si="5"/>
        <v>NOT NULL</v>
      </c>
      <c r="T32" s="78" t="str">
        <f t="shared" si="6"/>
        <v>-- 実施年月日</v>
      </c>
      <c r="U32" s="4"/>
      <c r="AA32" s="4"/>
      <c r="AB32" s="4"/>
      <c r="AC32" s="4"/>
      <c r="AD32" s="4"/>
      <c r="AE32" s="4"/>
      <c r="AF32" s="4"/>
      <c r="AG32" s="4"/>
      <c r="AH32" s="4"/>
      <c r="AI32" s="4"/>
      <c r="AJ32" s="78" t="str">
        <f>IF(E32="○",IF(COUNTA(E$13:E32)=1,"",",")&amp;D32,"")</f>
        <v>,jisshi_ymd</v>
      </c>
      <c r="AK32" s="4"/>
      <c r="AL32" s="4"/>
      <c r="AM32" s="4"/>
      <c r="AN32" s="4"/>
      <c r="AO32" s="4"/>
      <c r="AP32" s="4"/>
      <c r="AQ32" s="4"/>
      <c r="AR32" s="4"/>
      <c r="AS32" s="78" t="str">
        <f>"COMMENT ON COLUMN "&amp;エンティティ一覧!$O$2&amp;"."&amp;D$8&amp;"."&amp;D32&amp;" IS '"&amp;C32&amp;"';"</f>
        <v>COMMENT ON COLUMN milscm_2023_010.azn_202310_base_mart_shinryou_koui.jisshi_ymd IS '実施年月日';</v>
      </c>
    </row>
    <row r="33" spans="1:52" s="25" customFormat="1">
      <c r="A33" s="4"/>
      <c r="B33" s="21">
        <f t="shared" si="2"/>
        <v>21</v>
      </c>
      <c r="C33" s="13" t="s">
        <v>1797</v>
      </c>
      <c r="D33" s="13" t="s">
        <v>236</v>
      </c>
      <c r="E33" s="7"/>
      <c r="F33" s="7" t="s">
        <v>1782</v>
      </c>
      <c r="G33" s="7" t="str">
        <f t="shared" si="3"/>
        <v>text</v>
      </c>
      <c r="H33" s="58"/>
      <c r="I33" s="23"/>
      <c r="J33" s="24" t="s">
        <v>1813</v>
      </c>
      <c r="M33" s="4"/>
      <c r="N33" s="78"/>
      <c r="O33" s="78"/>
      <c r="P33" s="78" t="str">
        <f t="shared" si="4"/>
        <v>,receipt_ka_kubun</v>
      </c>
      <c r="Q33" s="78" t="str">
        <f t="shared" si="0"/>
        <v>TEXT</v>
      </c>
      <c r="R33" s="78" t="str">
        <f t="shared" si="1"/>
        <v/>
      </c>
      <c r="S33" s="78" t="str">
        <f t="shared" si="5"/>
        <v/>
      </c>
      <c r="T33" s="78" t="str">
        <f t="shared" si="6"/>
        <v>-- レセプト科区分</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milscm_2023_010.azn_202310_base_mart_shinryou_koui.receipt_ka_kubun IS 'レセプト科区分';</v>
      </c>
    </row>
    <row r="34" spans="1:52" s="25" customFormat="1">
      <c r="A34" s="4"/>
      <c r="B34" s="21">
        <f t="shared" si="2"/>
        <v>22</v>
      </c>
      <c r="C34" s="13" t="s">
        <v>134</v>
      </c>
      <c r="D34" s="13" t="s">
        <v>135</v>
      </c>
      <c r="E34" s="7"/>
      <c r="F34" s="7" t="s">
        <v>1782</v>
      </c>
      <c r="G34" s="7" t="str">
        <f t="shared" si="3"/>
        <v>text</v>
      </c>
      <c r="H34" s="58"/>
      <c r="I34" s="23"/>
      <c r="J34" s="24" t="s">
        <v>1813</v>
      </c>
      <c r="M34" s="4"/>
      <c r="N34" s="78"/>
      <c r="O34" s="78"/>
      <c r="P34" s="78" t="str">
        <f t="shared" si="4"/>
        <v>,department_kubun</v>
      </c>
      <c r="Q34" s="78" t="str">
        <f t="shared" si="0"/>
        <v>TEXT</v>
      </c>
      <c r="R34" s="78" t="str">
        <f t="shared" si="1"/>
        <v/>
      </c>
      <c r="S34" s="78" t="str">
        <f t="shared" si="5"/>
        <v/>
      </c>
      <c r="T34" s="78" t="str">
        <f t="shared" si="6"/>
        <v>-- 診療科区分</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milscm_2023_010.azn_202310_base_mart_shinryou_koui.department_kubun IS '診療科区分';</v>
      </c>
    </row>
    <row r="35" spans="1:52" s="25" customFormat="1" ht="37.5">
      <c r="A35" s="4"/>
      <c r="B35" s="21">
        <f t="shared" si="2"/>
        <v>23</v>
      </c>
      <c r="C35" s="13" t="s">
        <v>1798</v>
      </c>
      <c r="D35" s="13" t="s">
        <v>244</v>
      </c>
      <c r="E35" s="7"/>
      <c r="F35" s="7" t="s">
        <v>1782</v>
      </c>
      <c r="G35" s="7" t="str">
        <f t="shared" si="3"/>
        <v>text</v>
      </c>
      <c r="H35" s="58"/>
      <c r="I35" s="23"/>
      <c r="J35" s="24" t="s">
        <v>1805</v>
      </c>
      <c r="M35" s="4"/>
      <c r="N35" s="78"/>
      <c r="O35" s="78"/>
      <c r="P35" s="78" t="str">
        <f t="shared" si="4"/>
        <v>,nyugai_kubun</v>
      </c>
      <c r="Q35" s="78" t="str">
        <f t="shared" si="0"/>
        <v>TEXT</v>
      </c>
      <c r="R35" s="78" t="str">
        <f t="shared" si="1"/>
        <v/>
      </c>
      <c r="S35" s="78" t="str">
        <f t="shared" si="5"/>
        <v/>
      </c>
      <c r="T35" s="78" t="str">
        <f t="shared" si="6"/>
        <v>-- 入外区分</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milscm_2023_010.azn_202310_base_mart_shinryou_koui.nyugai_kubun IS '入外区分';</v>
      </c>
    </row>
    <row r="36" spans="1:52" s="25" customFormat="1" ht="19.5" thickBot="1">
      <c r="A36" s="4"/>
      <c r="B36" s="27">
        <f>ROW()-12</f>
        <v>24</v>
      </c>
      <c r="C36" s="57" t="s">
        <v>1799</v>
      </c>
      <c r="D36" s="57" t="s">
        <v>1800</v>
      </c>
      <c r="E36" s="56" t="s">
        <v>127</v>
      </c>
      <c r="F36" s="56" t="s">
        <v>205</v>
      </c>
      <c r="G36" s="56" t="str">
        <f t="shared" si="3"/>
        <v>integer</v>
      </c>
      <c r="H36" s="59"/>
      <c r="I36" s="60"/>
      <c r="J36" s="64" t="s">
        <v>1806</v>
      </c>
      <c r="N36" s="78"/>
      <c r="O36" s="78"/>
      <c r="P36" s="78" t="str">
        <f t="shared" si="4"/>
        <v>,seq_no</v>
      </c>
      <c r="Q36" s="78" t="str">
        <f t="shared" si="0"/>
        <v>INTEGER</v>
      </c>
      <c r="R36" s="78" t="str">
        <f t="shared" si="1"/>
        <v/>
      </c>
      <c r="S36" s="78" t="str">
        <f t="shared" si="5"/>
        <v/>
      </c>
      <c r="T36" s="78" t="str">
        <f t="shared" si="6"/>
        <v>-- シーケンス番号</v>
      </c>
      <c r="U36" s="4"/>
      <c r="AA36" s="4"/>
      <c r="AB36" s="4"/>
      <c r="AC36" s="4"/>
      <c r="AD36" s="4"/>
      <c r="AE36" s="4"/>
      <c r="AF36" s="4"/>
      <c r="AG36" s="4"/>
      <c r="AH36" s="4"/>
      <c r="AI36" s="4"/>
      <c r="AJ36" s="78" t="str">
        <f>IF(E36="○",IF(COUNTA(E$13:E36)=1,"",",")&amp;D36,"")</f>
        <v>,seq_no</v>
      </c>
      <c r="AK36" s="4"/>
      <c r="AL36" s="4"/>
      <c r="AM36" s="4"/>
      <c r="AN36" s="4"/>
      <c r="AO36" s="4"/>
      <c r="AP36" s="4"/>
      <c r="AQ36" s="4"/>
      <c r="AR36" s="4"/>
      <c r="AS36" s="78" t="str">
        <f>"COMMENT ON COLUMN "&amp;エンティティ一覧!$O$2&amp;"."&amp;D$8&amp;"."&amp;D36&amp;" IS '"&amp;C36&amp;"';"</f>
        <v>COMMENT ON COLUMN milscm_2023_010.azn_202310_base_mart_shinryou_koui.seq_no IS 'シーケンス番号';</v>
      </c>
    </row>
    <row r="37" spans="1:52">
      <c r="L37" s="25"/>
      <c r="M37" s="25"/>
      <c r="N37" s="78" t="s">
        <v>142</v>
      </c>
      <c r="O37" s="78"/>
      <c r="P37" s="78"/>
      <c r="Q37" s="78"/>
      <c r="R37" s="78"/>
      <c r="S37" s="78"/>
      <c r="T37" s="78"/>
      <c r="V37" s="25"/>
      <c r="W37" s="25"/>
      <c r="X37" s="25"/>
      <c r="Y37" s="25"/>
      <c r="Z37" s="25"/>
      <c r="AJ37" s="78"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800-000000000000}"/>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AZ4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ENT_31_03</v>
      </c>
      <c r="E6" s="239"/>
      <c r="F6" s="239"/>
      <c r="G6" s="239"/>
      <c r="H6" s="239"/>
      <c r="I6" s="239"/>
      <c r="J6" s="240"/>
    </row>
    <row r="7" spans="1:45">
      <c r="B7" s="228" t="s">
        <v>115</v>
      </c>
      <c r="C7" s="229"/>
      <c r="D7" s="230" t="s">
        <v>3746</v>
      </c>
      <c r="E7" s="231"/>
      <c r="F7" s="231"/>
      <c r="G7" s="231"/>
      <c r="H7" s="231"/>
      <c r="I7" s="231"/>
      <c r="J7" s="232"/>
    </row>
    <row r="8" spans="1:45">
      <c r="B8" s="228" t="s">
        <v>116</v>
      </c>
      <c r="C8" s="229"/>
      <c r="D8" s="230" t="str">
        <f>エンティティ一覧!AE2&amp;"_"&amp;D5&amp;"_mart_nyu_tai_in"</f>
        <v>azn_202310_base_mart_nyu_tai_in</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バックアップ_入院退院データテーブルから対象患者で絞り込んだ結果を格納するテーブル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milscm_2023_010.azn_202310_base_mart_nyu_tai_in;</v>
      </c>
      <c r="O10" s="78"/>
      <c r="P10" s="78"/>
      <c r="Q10" s="78"/>
      <c r="R10" s="78"/>
      <c r="S10" s="78"/>
      <c r="T10" s="78"/>
      <c r="AJ10" s="78" t="str">
        <f>"ALTER TABLE ONLY "&amp;エンティティ一覧!$O$2&amp;"."&amp;D$8</f>
        <v>ALTER TABLE ONLY milscm_2023_010.azn_202310_base_mart_nyu_tai_in</v>
      </c>
      <c r="AS10" s="78" t="str">
        <f>"ALTER TABLE "&amp;エンティティ一覧!$O$2&amp;"."&amp;D$8&amp;" OWNER TO pgmisgrp1;"</f>
        <v>ALTER TABLE milscm_2023_010.azn_202310_base_mart_nyu_tai_in OWNER TO pgmisgrp1;</v>
      </c>
    </row>
    <row r="11" spans="1:45" ht="19.5" thickBot="1">
      <c r="B11" s="20" t="s">
        <v>118</v>
      </c>
      <c r="C11" s="19"/>
      <c r="D11" s="5"/>
      <c r="E11" s="5"/>
      <c r="F11" s="5"/>
      <c r="G11" s="5"/>
      <c r="H11" s="5"/>
      <c r="I11" s="5"/>
      <c r="J11" s="18"/>
      <c r="N11" s="78" t="str">
        <f>"CREATE TABLE  "&amp;エンティティ一覧!$O$2&amp;"."&amp;D$8</f>
        <v>CREATE TABLE  milscm_2023_010.azn_202310_base_mart_nyu_tai_in</v>
      </c>
      <c r="O11" s="78"/>
      <c r="P11" s="78"/>
      <c r="Q11" s="78"/>
      <c r="R11" s="78"/>
      <c r="S11" s="78"/>
      <c r="T11" s="78"/>
      <c r="AJ11" s="78" t="str">
        <f>"ADD CONSTRAINT "&amp;D$8&amp;"_pkey PRIMARY KEY"</f>
        <v>ADD CONSTRAINT azn_202310_base_mart_nyu_tai_in_pkey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milscm_2023_010.azn_202310_base_mart_nyu_tai_in IS 'ベース_入院退院データ';</v>
      </c>
    </row>
    <row r="13" spans="1:45" s="25" customFormat="1">
      <c r="A13" s="4"/>
      <c r="B13" s="21">
        <f>ROW()-12</f>
        <v>1</v>
      </c>
      <c r="C13" s="6" t="s">
        <v>1781</v>
      </c>
      <c r="D13" s="6" t="s">
        <v>211</v>
      </c>
      <c r="E13" s="8" t="s">
        <v>127</v>
      </c>
      <c r="F13" s="8" t="s">
        <v>1782</v>
      </c>
      <c r="G13" s="7" t="str">
        <f>IF(F13="フラグ","boolean",IF(F13="文字列","text",IF(F13="整数","integer",IF(F13="実数","numeric",""))))</f>
        <v>text</v>
      </c>
      <c r="H13" s="9"/>
      <c r="I13" s="10" t="s">
        <v>127</v>
      </c>
      <c r="J13" s="11" t="s">
        <v>1860</v>
      </c>
      <c r="M13" s="4"/>
      <c r="N13" s="78"/>
      <c r="O13" s="78"/>
      <c r="P13" s="78" t="str">
        <f>IF(B13&lt;&gt;1,","&amp;D13,D13)</f>
        <v>shikibetsu_no</v>
      </c>
      <c r="Q13" s="78" t="str">
        <f t="shared" ref="Q13:Q19" si="0">UPPER(G13)</f>
        <v>TEXT</v>
      </c>
      <c r="R13" s="78" t="str">
        <f t="shared" ref="R13:R19" si="1">IF(H13&lt;&gt;"","default "&amp;IF(G13="text","'"&amp;H13&amp;"'",H13),"")</f>
        <v/>
      </c>
      <c r="S13" s="78" t="str">
        <f>IF(I13="○","NOT NULL","")</f>
        <v>NOT NULL</v>
      </c>
      <c r="T13" s="78" t="str">
        <f>"-- "&amp;C13</f>
        <v>-- データ識別番号</v>
      </c>
      <c r="U13" s="4"/>
      <c r="AA13" s="4"/>
      <c r="AB13" s="4"/>
      <c r="AC13" s="4"/>
      <c r="AD13" s="4"/>
      <c r="AE13" s="4"/>
      <c r="AF13" s="4"/>
      <c r="AG13" s="4"/>
      <c r="AH13" s="4"/>
      <c r="AI13" s="4"/>
      <c r="AJ13" s="78" t="str">
        <f>IF(E13="○",IF(COUNTA(E$13:E13)=1,"",",")&amp;D13,"")</f>
        <v>shikibetsu_no</v>
      </c>
      <c r="AK13" s="4"/>
      <c r="AL13" s="4"/>
      <c r="AM13" s="4"/>
      <c r="AN13" s="4"/>
      <c r="AO13" s="4"/>
      <c r="AP13" s="4"/>
      <c r="AQ13" s="4"/>
      <c r="AR13" s="4"/>
      <c r="AS13" s="78" t="str">
        <f>"COMMENT ON COLUMN "&amp;エンティティ一覧!$O$2&amp;"."&amp;D$8&amp;"."&amp;D13&amp;" IS '"&amp;C13&amp;"';"</f>
        <v>COMMENT ON COLUMN milscm_2023_010.azn_202310_base_mart_nyu_tai_in.shikibetsu_no IS 'データ識別番号';</v>
      </c>
    </row>
    <row r="14" spans="1:45" s="25" customFormat="1">
      <c r="A14" s="4"/>
      <c r="B14" s="21">
        <f t="shared" ref="B14:B18" si="2">ROW()-12</f>
        <v>2</v>
      </c>
      <c r="C14" s="6" t="s">
        <v>137</v>
      </c>
      <c r="D14" s="6" t="s">
        <v>128</v>
      </c>
      <c r="E14" s="8" t="s">
        <v>127</v>
      </c>
      <c r="F14" s="7" t="s">
        <v>740</v>
      </c>
      <c r="G14" s="7" t="str">
        <f t="shared" ref="G14:G19" si="3">IF(F14="フラグ","boolean",IF(F14="文字列","text",IF(F14="整数","integer",IF(F14="実数","numeric",""))))</f>
        <v>text</v>
      </c>
      <c r="H14" s="26"/>
      <c r="I14" s="10" t="s">
        <v>127</v>
      </c>
      <c r="J14" s="11" t="s">
        <v>1860</v>
      </c>
      <c r="M14" s="4"/>
      <c r="N14" s="78"/>
      <c r="O14" s="78"/>
      <c r="P14" s="78" t="str">
        <f t="shared" ref="P14:P19" si="4">IF(B14&lt;&gt;1,","&amp;D14,D14)</f>
        <v>,facility_id</v>
      </c>
      <c r="Q14" s="78" t="str">
        <f t="shared" si="0"/>
        <v>TEXT</v>
      </c>
      <c r="R14" s="78" t="str">
        <f t="shared" si="1"/>
        <v/>
      </c>
      <c r="S14" s="78" t="str">
        <f t="shared" ref="S14:S17" si="5">IF(I14="○","NOT NULL","")</f>
        <v>NOT NULL</v>
      </c>
      <c r="T14" s="78" t="str">
        <f t="shared" ref="T14:T17" si="6">"-- "&amp;C14</f>
        <v>-- 施設ID</v>
      </c>
      <c r="U14" s="4"/>
      <c r="AA14" s="4"/>
      <c r="AB14" s="4"/>
      <c r="AC14" s="4"/>
      <c r="AD14" s="4"/>
      <c r="AE14" s="4"/>
      <c r="AF14" s="4"/>
      <c r="AG14" s="4"/>
      <c r="AH14" s="4"/>
      <c r="AI14" s="4"/>
      <c r="AJ14" s="78" t="str">
        <f>IF(E14="○",IF(COUNTA(E$13:E14)=1,"",",")&amp;D14,"")</f>
        <v>,facility_id</v>
      </c>
      <c r="AK14" s="4"/>
      <c r="AL14" s="4"/>
      <c r="AM14" s="4"/>
      <c r="AN14" s="4"/>
      <c r="AO14" s="4"/>
      <c r="AP14" s="4"/>
      <c r="AQ14" s="4"/>
      <c r="AR14" s="4"/>
      <c r="AS14" s="78" t="str">
        <f>"COMMENT ON COLUMN "&amp;エンティティ一覧!$O$2&amp;"."&amp;D$8&amp;"."&amp;D14&amp;" IS '"&amp;C14&amp;"';"</f>
        <v>COMMENT ON COLUMN milscm_2023_010.azn_202310_base_mart_nyu_tai_in.facility_id IS '施設ID';</v>
      </c>
    </row>
    <row r="15" spans="1:45" s="25" customFormat="1">
      <c r="A15" s="4"/>
      <c r="B15" s="21">
        <f t="shared" si="2"/>
        <v>3</v>
      </c>
      <c r="C15" s="6" t="s">
        <v>1852</v>
      </c>
      <c r="D15" s="6" t="s">
        <v>1853</v>
      </c>
      <c r="E15" s="8"/>
      <c r="F15" s="7" t="s">
        <v>1782</v>
      </c>
      <c r="G15" s="7" t="str">
        <f t="shared" si="3"/>
        <v>text</v>
      </c>
      <c r="H15" s="26"/>
      <c r="I15" s="10" t="s">
        <v>127</v>
      </c>
      <c r="J15" s="11" t="s">
        <v>1861</v>
      </c>
      <c r="M15" s="4"/>
      <c r="N15" s="78"/>
      <c r="O15" s="78"/>
      <c r="P15" s="78" t="str">
        <f t="shared" si="4"/>
        <v>,nyuin_ym</v>
      </c>
      <c r="Q15" s="78" t="str">
        <f t="shared" si="0"/>
        <v>TEXT</v>
      </c>
      <c r="R15" s="78" t="str">
        <f t="shared" si="1"/>
        <v/>
      </c>
      <c r="S15" s="78" t="str">
        <f t="shared" si="5"/>
        <v>NOT NULL</v>
      </c>
      <c r="T15" s="78" t="str">
        <f t="shared" si="6"/>
        <v>-- 入院年月</v>
      </c>
      <c r="U15" s="4"/>
      <c r="AA15" s="4"/>
      <c r="AB15" s="4"/>
      <c r="AC15" s="4"/>
      <c r="AD15" s="4"/>
      <c r="AE15" s="4"/>
      <c r="AF15" s="4"/>
      <c r="AG15" s="4"/>
      <c r="AH15" s="4"/>
      <c r="AI15" s="4"/>
      <c r="AJ15" s="78" t="str">
        <f>IF(E15="○",IF(COUNTA(E$13:E15)=1,"",",")&amp;D15,"")</f>
        <v/>
      </c>
      <c r="AK15" s="4"/>
      <c r="AL15" s="4"/>
      <c r="AM15" s="4"/>
      <c r="AN15" s="4"/>
      <c r="AO15" s="4"/>
      <c r="AP15" s="4"/>
      <c r="AQ15" s="4"/>
      <c r="AR15" s="4"/>
      <c r="AS15" s="78" t="str">
        <f>"COMMENT ON COLUMN "&amp;エンティティ一覧!$O$2&amp;"."&amp;D$8&amp;"."&amp;D15&amp;" IS '"&amp;C15&amp;"';"</f>
        <v>COMMENT ON COLUMN milscm_2023_010.azn_202310_base_mart_nyu_tai_in.nyuin_ym IS '入院年月';</v>
      </c>
    </row>
    <row r="16" spans="1:45" s="25" customFormat="1">
      <c r="A16" s="4"/>
      <c r="B16" s="21">
        <f t="shared" si="2"/>
        <v>4</v>
      </c>
      <c r="C16" s="6" t="s">
        <v>1854</v>
      </c>
      <c r="D16" s="6" t="s">
        <v>1855</v>
      </c>
      <c r="E16" s="8"/>
      <c r="F16" s="7" t="s">
        <v>1782</v>
      </c>
      <c r="G16" s="7" t="str">
        <f t="shared" si="3"/>
        <v>text</v>
      </c>
      <c r="H16" s="26"/>
      <c r="I16" s="10" t="s">
        <v>127</v>
      </c>
      <c r="J16" s="11" t="s">
        <v>1862</v>
      </c>
      <c r="M16" s="4"/>
      <c r="N16" s="78"/>
      <c r="O16" s="78"/>
      <c r="P16" s="78" t="str">
        <f t="shared" si="4"/>
        <v>,taiin_ym</v>
      </c>
      <c r="Q16" s="78" t="str">
        <f t="shared" si="0"/>
        <v>TEXT</v>
      </c>
      <c r="R16" s="78" t="str">
        <f t="shared" si="1"/>
        <v/>
      </c>
      <c r="S16" s="78" t="str">
        <f t="shared" si="5"/>
        <v>NOT NULL</v>
      </c>
      <c r="T16" s="78" t="str">
        <f t="shared" si="6"/>
        <v>-- 退院年月</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milscm_2023_010.azn_202310_base_mart_nyu_tai_in.taiin_ym IS '退院年月';</v>
      </c>
    </row>
    <row r="17" spans="1:52" s="25" customFormat="1">
      <c r="A17" s="4"/>
      <c r="B17" s="21">
        <f t="shared" si="2"/>
        <v>5</v>
      </c>
      <c r="C17" s="6" t="s">
        <v>1856</v>
      </c>
      <c r="D17" s="6" t="s">
        <v>156</v>
      </c>
      <c r="E17" s="8" t="s">
        <v>127</v>
      </c>
      <c r="F17" s="7" t="s">
        <v>1782</v>
      </c>
      <c r="G17" s="7" t="str">
        <f t="shared" si="3"/>
        <v>text</v>
      </c>
      <c r="H17" s="26"/>
      <c r="I17" s="10" t="s">
        <v>127</v>
      </c>
      <c r="J17" s="11" t="s">
        <v>1860</v>
      </c>
      <c r="M17" s="4"/>
      <c r="N17" s="78"/>
      <c r="O17" s="78"/>
      <c r="P17" s="78" t="str">
        <f t="shared" si="4"/>
        <v>,nyuin_ymd</v>
      </c>
      <c r="Q17" s="78" t="str">
        <f t="shared" si="0"/>
        <v>TEXT</v>
      </c>
      <c r="R17" s="78" t="str">
        <f t="shared" si="1"/>
        <v/>
      </c>
      <c r="S17" s="78" t="str">
        <f t="shared" si="5"/>
        <v>NOT NULL</v>
      </c>
      <c r="T17" s="78" t="str">
        <f t="shared" si="6"/>
        <v>-- 入院年月日</v>
      </c>
      <c r="U17" s="4"/>
      <c r="AA17" s="4"/>
      <c r="AB17" s="4"/>
      <c r="AC17" s="4"/>
      <c r="AD17" s="4"/>
      <c r="AE17" s="4"/>
      <c r="AF17" s="4"/>
      <c r="AG17" s="4"/>
      <c r="AH17" s="4"/>
      <c r="AI17" s="4"/>
      <c r="AJ17" s="78" t="str">
        <f>IF(E17="○",IF(COUNTA(E$13:E17)=1,"",",")&amp;D17,"")</f>
        <v>,nyuin_ymd</v>
      </c>
      <c r="AK17" s="4"/>
      <c r="AL17" s="4"/>
      <c r="AM17" s="4"/>
      <c r="AN17" s="4"/>
      <c r="AO17" s="4"/>
      <c r="AP17" s="4"/>
      <c r="AQ17" s="4"/>
      <c r="AR17" s="4"/>
      <c r="AS17" s="78" t="str">
        <f>"COMMENT ON COLUMN "&amp;エンティティ一覧!$O$2&amp;"."&amp;D$8&amp;"."&amp;D17&amp;" IS '"&amp;C17&amp;"';"</f>
        <v>COMMENT ON COLUMN milscm_2023_010.azn_202310_base_mart_nyu_tai_in.nyuin_ymd IS '入院年月日';</v>
      </c>
    </row>
    <row r="18" spans="1:52" s="25" customFormat="1">
      <c r="A18" s="4"/>
      <c r="B18" s="21">
        <f t="shared" si="2"/>
        <v>6</v>
      </c>
      <c r="C18" s="6" t="s">
        <v>1857</v>
      </c>
      <c r="D18" s="6" t="s">
        <v>213</v>
      </c>
      <c r="E18" s="8" t="s">
        <v>127</v>
      </c>
      <c r="F18" s="7" t="s">
        <v>1782</v>
      </c>
      <c r="G18" s="7" t="str">
        <f t="shared" si="3"/>
        <v>text</v>
      </c>
      <c r="H18" s="26"/>
      <c r="I18" s="10" t="s">
        <v>127</v>
      </c>
      <c r="J18" s="11" t="s">
        <v>1860</v>
      </c>
      <c r="M18" s="4"/>
      <c r="N18" s="78"/>
      <c r="O18" s="78"/>
      <c r="P18" s="78" t="str">
        <f t="shared" si="4"/>
        <v>,taiin_ymd</v>
      </c>
      <c r="Q18" s="78" t="str">
        <f t="shared" si="0"/>
        <v>TEXT</v>
      </c>
      <c r="R18" s="78" t="str">
        <f t="shared" si="1"/>
        <v/>
      </c>
      <c r="S18" s="78" t="str">
        <f>IF(I18="○","NOT NULL","")</f>
        <v>NOT NULL</v>
      </c>
      <c r="T18" s="78" t="str">
        <f>"-- "&amp;C18</f>
        <v>-- 退院年月日</v>
      </c>
      <c r="U18" s="4"/>
      <c r="AA18" s="4"/>
      <c r="AB18" s="4"/>
      <c r="AC18" s="4"/>
      <c r="AD18" s="4"/>
      <c r="AE18" s="4"/>
      <c r="AF18" s="4"/>
      <c r="AG18" s="4"/>
      <c r="AH18" s="4"/>
      <c r="AI18" s="4"/>
      <c r="AJ18" s="78" t="str">
        <f>IF(E18="○",IF(COUNTA(E$13:E18)=1,"",",")&amp;D18,"")</f>
        <v>,taiin_ymd</v>
      </c>
      <c r="AK18" s="4"/>
      <c r="AL18" s="4"/>
      <c r="AM18" s="4"/>
      <c r="AN18" s="4"/>
      <c r="AO18" s="4"/>
      <c r="AP18" s="4"/>
      <c r="AQ18" s="4"/>
      <c r="AR18" s="4"/>
      <c r="AS18" s="78" t="str">
        <f>"COMMENT ON COLUMN "&amp;エンティティ一覧!$O$2&amp;"."&amp;D$8&amp;"."&amp;D18&amp;" IS '"&amp;C18&amp;"';"</f>
        <v>COMMENT ON COLUMN milscm_2023_010.azn_202310_base_mart_nyu_tai_in.taiin_ymd IS '退院年月日';</v>
      </c>
    </row>
    <row r="19" spans="1:52" s="25" customFormat="1" ht="38.25" thickBot="1">
      <c r="A19" s="4"/>
      <c r="B19" s="27">
        <f>ROW()-12</f>
        <v>7</v>
      </c>
      <c r="C19" s="57" t="s">
        <v>1858</v>
      </c>
      <c r="D19" s="57" t="s">
        <v>1859</v>
      </c>
      <c r="E19" s="56"/>
      <c r="F19" s="56" t="s">
        <v>1782</v>
      </c>
      <c r="G19" s="56" t="str">
        <f t="shared" si="3"/>
        <v>text</v>
      </c>
      <c r="H19" s="59"/>
      <c r="I19" s="60" t="s">
        <v>127</v>
      </c>
      <c r="J19" s="64" t="s">
        <v>1863</v>
      </c>
      <c r="N19" s="78"/>
      <c r="O19" s="78"/>
      <c r="P19" s="78" t="str">
        <f t="shared" si="4"/>
        <v>,nyuinchu_flg</v>
      </c>
      <c r="Q19" s="78" t="str">
        <f t="shared" si="0"/>
        <v>TEXT</v>
      </c>
      <c r="R19" s="78" t="str">
        <f t="shared" si="1"/>
        <v/>
      </c>
      <c r="S19" s="78" t="str">
        <f t="shared" ref="S19" si="7">IF(I19="○","NOT NULL","")</f>
        <v>NOT NULL</v>
      </c>
      <c r="T19" s="78" t="str">
        <f t="shared" ref="T19" si="8">"-- "&amp;C19</f>
        <v>-- 入院中F</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milscm_2023_010.azn_202310_base_mart_nyu_tai_in.nyuinchu_flg IS '入院中F';</v>
      </c>
    </row>
    <row r="20" spans="1:52">
      <c r="L20" s="25"/>
      <c r="M20" s="25"/>
      <c r="N20" s="78" t="s">
        <v>142</v>
      </c>
      <c r="O20" s="78"/>
      <c r="P20" s="78"/>
      <c r="Q20" s="78"/>
      <c r="R20" s="78"/>
      <c r="S20" s="78"/>
      <c r="T20" s="78"/>
      <c r="V20" s="25"/>
      <c r="W20" s="25"/>
      <c r="X20" s="25"/>
      <c r="Y20" s="25"/>
      <c r="Z20" s="25"/>
      <c r="AJ20" s="78"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900-000000000000}"/>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ENT_31_04</v>
      </c>
      <c r="E6" s="239"/>
      <c r="F6" s="239"/>
      <c r="G6" s="239"/>
      <c r="H6" s="239"/>
      <c r="I6" s="239"/>
      <c r="J6" s="240"/>
    </row>
    <row r="7" spans="1:45">
      <c r="B7" s="228" t="s">
        <v>115</v>
      </c>
      <c r="C7" s="229"/>
      <c r="D7" s="230" t="s">
        <v>3747</v>
      </c>
      <c r="E7" s="231"/>
      <c r="F7" s="231"/>
      <c r="G7" s="231"/>
      <c r="H7" s="231"/>
      <c r="I7" s="231"/>
      <c r="J7" s="232"/>
    </row>
    <row r="8" spans="1:45">
      <c r="B8" s="228" t="s">
        <v>116</v>
      </c>
      <c r="C8" s="229"/>
      <c r="D8" s="230" t="str">
        <f>エンティティ一覧!AE2&amp;"_"&amp;D5&amp;"_mart_patient_basic"</f>
        <v>azn_202310_base_mart_patient_basic</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バックアップ_患者基本データテーブルから対象患者で絞り込んだ結果を格納するテーブル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milscm_2023_010.azn_202310_base_mart_patient_basic;</v>
      </c>
      <c r="O10" s="78"/>
      <c r="P10" s="78"/>
      <c r="Q10" s="78"/>
      <c r="R10" s="78"/>
      <c r="S10" s="78"/>
      <c r="T10" s="78"/>
      <c r="AJ10" s="78" t="str">
        <f>"ALTER TABLE ONLY "&amp;エンティティ一覧!$O$2&amp;"."&amp;D$8</f>
        <v>ALTER TABLE ONLY milscm_2023_010.azn_202310_base_mart_patient_basic</v>
      </c>
      <c r="AS10" s="78" t="str">
        <f>"ALTER TABLE "&amp;エンティティ一覧!$O$2&amp;"."&amp;D$8&amp;" OWNER TO pgmisgrp1;"</f>
        <v>ALTER TABLE milscm_2023_010.azn_202310_base_mart_patient_basic OWNER TO pgmisgrp1;</v>
      </c>
    </row>
    <row r="11" spans="1:45" ht="19.5" thickBot="1">
      <c r="B11" s="20" t="s">
        <v>118</v>
      </c>
      <c r="C11" s="19"/>
      <c r="D11" s="5"/>
      <c r="E11" s="5"/>
      <c r="F11" s="5"/>
      <c r="G11" s="5"/>
      <c r="H11" s="5"/>
      <c r="I11" s="5"/>
      <c r="J11" s="18"/>
      <c r="N11" s="78" t="str">
        <f>"CREATE TABLE  "&amp;エンティティ一覧!$O$2&amp;"."&amp;D$8</f>
        <v>CREATE TABLE  milscm_2023_010.azn_202310_base_mart_patient_basic</v>
      </c>
      <c r="O11" s="78"/>
      <c r="P11" s="78"/>
      <c r="Q11" s="78"/>
      <c r="R11" s="78"/>
      <c r="S11" s="78"/>
      <c r="T11" s="78"/>
      <c r="AJ11" s="78" t="str">
        <f>"ADD CONSTRAINT "&amp;D$8&amp;"_pkey PRIMARY KEY"</f>
        <v>ADD CONSTRAINT azn_202310_base_mart_patient_basic_pkey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milscm_2023_010.azn_202310_base_mart_patient_basic IS 'ベース_患者基本データ';</v>
      </c>
    </row>
    <row r="13" spans="1:45" s="25" customFormat="1">
      <c r="A13" s="4"/>
      <c r="B13" s="21">
        <f>ROW()-12</f>
        <v>1</v>
      </c>
      <c r="C13" s="6" t="s">
        <v>1888</v>
      </c>
      <c r="D13" s="6" t="s">
        <v>128</v>
      </c>
      <c r="E13" s="8" t="s">
        <v>127</v>
      </c>
      <c r="F13" s="8" t="s">
        <v>1873</v>
      </c>
      <c r="G13" s="7" t="str">
        <f>IF(F13="フラグ","boolean",IF(F13="文字列","text",IF(F13="整数","integer",IF(F13="実数","numeric",""))))</f>
        <v>text</v>
      </c>
      <c r="H13" s="9"/>
      <c r="I13" s="10" t="s">
        <v>127</v>
      </c>
      <c r="J13" s="11"/>
      <c r="M13" s="4"/>
      <c r="N13" s="78"/>
      <c r="O13" s="78"/>
      <c r="P13" s="78" t="str">
        <f>IF(B13&lt;&gt;1,","&amp;D13,D13)</f>
        <v>facility_id</v>
      </c>
      <c r="Q13" s="78" t="str">
        <f t="shared" ref="Q13:Q21" si="0">UPPER(G13)</f>
        <v>TEXT</v>
      </c>
      <c r="R13" s="78" t="str">
        <f t="shared" ref="R13:R21" si="1">IF(H13&lt;&gt;"","default "&amp;IF(G13="text","'"&amp;H13&amp;"'",H13),"")</f>
        <v/>
      </c>
      <c r="S13" s="78" t="str">
        <f>IF(I13="○","NOT NULL","")</f>
        <v>NOT NULL</v>
      </c>
      <c r="T13" s="78" t="str">
        <f>"-- "&amp;C13</f>
        <v>-- 施設ID</v>
      </c>
      <c r="U13" s="4"/>
      <c r="AA13" s="4"/>
      <c r="AB13" s="4"/>
      <c r="AC13" s="4"/>
      <c r="AD13" s="4"/>
      <c r="AE13" s="4"/>
      <c r="AF13" s="4"/>
      <c r="AG13" s="4"/>
      <c r="AH13" s="4"/>
      <c r="AI13" s="4"/>
      <c r="AJ13" s="78" t="str">
        <f>IF(E13="○",IF(COUNTA(E$13:E13)=1,"",",")&amp;D13,"")</f>
        <v>facility_id</v>
      </c>
      <c r="AK13" s="4"/>
      <c r="AL13" s="4"/>
      <c r="AM13" s="4"/>
      <c r="AN13" s="4"/>
      <c r="AO13" s="4"/>
      <c r="AP13" s="4"/>
      <c r="AQ13" s="4"/>
      <c r="AR13" s="4"/>
      <c r="AS13" s="78" t="str">
        <f>"COMMENT ON COLUMN "&amp;エンティティ一覧!$O$2&amp;"."&amp;D$8&amp;"."&amp;D13&amp;" IS '"&amp;C13&amp;"';"</f>
        <v>COMMENT ON COLUMN milscm_2023_010.azn_202310_base_mart_patient_basic.facility_id IS '施設ID';</v>
      </c>
    </row>
    <row r="14" spans="1:45" s="25" customFormat="1">
      <c r="A14" s="4"/>
      <c r="B14" s="21">
        <f t="shared" ref="B14:B20" si="2">ROW()-12</f>
        <v>2</v>
      </c>
      <c r="C14" s="6" t="s">
        <v>1889</v>
      </c>
      <c r="D14" s="6" t="s">
        <v>1890</v>
      </c>
      <c r="E14" s="8" t="s">
        <v>127</v>
      </c>
      <c r="F14" s="7" t="s">
        <v>1873</v>
      </c>
      <c r="G14" s="7" t="str">
        <f t="shared" ref="G14:G21" si="3">IF(F14="フラグ","boolean",IF(F14="文字列","text",IF(F14="整数","integer",IF(F14="実数","numeric",""))))</f>
        <v>text</v>
      </c>
      <c r="H14" s="26"/>
      <c r="I14" s="10" t="s">
        <v>127</v>
      </c>
      <c r="J14" s="11" t="s">
        <v>1891</v>
      </c>
      <c r="M14" s="4"/>
      <c r="N14" s="78"/>
      <c r="O14" s="78"/>
      <c r="P14" s="78" t="str">
        <f t="shared" ref="P14:P21" si="4">IF(B14&lt;&gt;1,","&amp;D14,D14)</f>
        <v>,himoduke_id</v>
      </c>
      <c r="Q14" s="78" t="str">
        <f t="shared" si="0"/>
        <v>TEXT</v>
      </c>
      <c r="R14" s="78" t="str">
        <f t="shared" si="1"/>
        <v/>
      </c>
      <c r="S14" s="78" t="str">
        <f t="shared" ref="S14:S21" si="5">IF(I14="○","NOT NULL","")</f>
        <v>NOT NULL</v>
      </c>
      <c r="T14" s="78" t="str">
        <f t="shared" ref="T14:T21" si="6">"-- "&amp;C14</f>
        <v>-- 紐付けID</v>
      </c>
      <c r="U14" s="4"/>
      <c r="AA14" s="4"/>
      <c r="AB14" s="4"/>
      <c r="AC14" s="4"/>
      <c r="AD14" s="4"/>
      <c r="AE14" s="4"/>
      <c r="AF14" s="4"/>
      <c r="AG14" s="4"/>
      <c r="AH14" s="4"/>
      <c r="AI14" s="4"/>
      <c r="AJ14" s="78" t="str">
        <f>IF(E14="○",IF(COUNTA(E$13:E14)=1,"",",")&amp;D14,"")</f>
        <v>,himoduke_id</v>
      </c>
      <c r="AK14" s="4"/>
      <c r="AL14" s="4"/>
      <c r="AM14" s="4"/>
      <c r="AN14" s="4"/>
      <c r="AO14" s="4"/>
      <c r="AP14" s="4"/>
      <c r="AQ14" s="4"/>
      <c r="AR14" s="4"/>
      <c r="AS14" s="78" t="str">
        <f>"COMMENT ON COLUMN "&amp;エンティティ一覧!$O$2&amp;"."&amp;D$8&amp;"."&amp;D14&amp;" IS '"&amp;C14&amp;"';"</f>
        <v>COMMENT ON COLUMN milscm_2023_010.azn_202310_base_mart_patient_basic.himoduke_id IS '紐付けID';</v>
      </c>
    </row>
    <row r="15" spans="1:45" s="25" customFormat="1">
      <c r="A15" s="4"/>
      <c r="B15" s="21">
        <f t="shared" si="2"/>
        <v>3</v>
      </c>
      <c r="C15" s="6" t="s">
        <v>1865</v>
      </c>
      <c r="D15" s="6" t="s">
        <v>209</v>
      </c>
      <c r="E15" s="8" t="s">
        <v>127</v>
      </c>
      <c r="F15" s="7" t="s">
        <v>1866</v>
      </c>
      <c r="G15" s="7" t="str">
        <f t="shared" si="3"/>
        <v>text</v>
      </c>
      <c r="H15" s="26"/>
      <c r="I15" s="10" t="s">
        <v>127</v>
      </c>
      <c r="J15" s="11" t="s">
        <v>1869</v>
      </c>
      <c r="M15" s="4"/>
      <c r="N15" s="78"/>
      <c r="O15" s="78"/>
      <c r="P15" s="78" t="str">
        <f t="shared" si="4"/>
        <v>,data_type</v>
      </c>
      <c r="Q15" s="78" t="str">
        <f t="shared" si="0"/>
        <v>TEXT</v>
      </c>
      <c r="R15" s="78" t="str">
        <f t="shared" si="1"/>
        <v/>
      </c>
      <c r="S15" s="78" t="str">
        <f t="shared" si="5"/>
        <v>NOT NULL</v>
      </c>
      <c r="T15" s="78" t="str">
        <f t="shared" si="6"/>
        <v>-- データ種別</v>
      </c>
      <c r="U15" s="4"/>
      <c r="AA15" s="4"/>
      <c r="AB15" s="4"/>
      <c r="AC15" s="4"/>
      <c r="AD15" s="4"/>
      <c r="AE15" s="4"/>
      <c r="AF15" s="4"/>
      <c r="AG15" s="4"/>
      <c r="AH15" s="4"/>
      <c r="AI15" s="4"/>
      <c r="AJ15" s="78" t="str">
        <f>IF(E15="○",IF(COUNTA(E$13:E15)=1,"",",")&amp;D15,"")</f>
        <v>,data_type</v>
      </c>
      <c r="AK15" s="4"/>
      <c r="AL15" s="4"/>
      <c r="AM15" s="4"/>
      <c r="AN15" s="4"/>
      <c r="AO15" s="4"/>
      <c r="AP15" s="4"/>
      <c r="AQ15" s="4"/>
      <c r="AR15" s="4"/>
      <c r="AS15" s="78" t="str">
        <f>"COMMENT ON COLUMN "&amp;エンティティ一覧!$O$2&amp;"."&amp;D$8&amp;"."&amp;D15&amp;" IS '"&amp;C15&amp;"';"</f>
        <v>COMMENT ON COLUMN milscm_2023_010.azn_202310_base_mart_patient_basic.data_type IS 'データ種別';</v>
      </c>
    </row>
    <row r="16" spans="1:45" s="25" customFormat="1">
      <c r="A16" s="4"/>
      <c r="B16" s="21">
        <f t="shared" si="2"/>
        <v>4</v>
      </c>
      <c r="C16" s="6" t="s">
        <v>1871</v>
      </c>
      <c r="D16" s="6" t="s">
        <v>1872</v>
      </c>
      <c r="E16" s="8"/>
      <c r="F16" s="7" t="s">
        <v>1873</v>
      </c>
      <c r="G16" s="7" t="str">
        <f t="shared" si="3"/>
        <v>text</v>
      </c>
      <c r="H16" s="26"/>
      <c r="I16" s="10"/>
      <c r="J16" s="11" t="s">
        <v>1895</v>
      </c>
      <c r="M16" s="4"/>
      <c r="N16" s="78"/>
      <c r="O16" s="78"/>
      <c r="P16" s="78" t="str">
        <f t="shared" si="4"/>
        <v>,shinryo_ym_min</v>
      </c>
      <c r="Q16" s="78" t="str">
        <f t="shared" si="0"/>
        <v>TEXT</v>
      </c>
      <c r="R16" s="78" t="str">
        <f t="shared" si="1"/>
        <v/>
      </c>
      <c r="S16" s="78" t="str">
        <f t="shared" si="5"/>
        <v/>
      </c>
      <c r="T16" s="78" t="str">
        <f t="shared" si="6"/>
        <v>-- 診療年月_最小</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milscm_2023_010.azn_202310_base_mart_patient_basic.shinryo_ym_min IS '診療年月_最小';</v>
      </c>
    </row>
    <row r="17" spans="1:52" s="25" customFormat="1">
      <c r="A17" s="4"/>
      <c r="B17" s="21">
        <f t="shared" si="2"/>
        <v>5</v>
      </c>
      <c r="C17" s="6" t="s">
        <v>1874</v>
      </c>
      <c r="D17" s="6" t="s">
        <v>1875</v>
      </c>
      <c r="E17" s="8"/>
      <c r="F17" s="7" t="s">
        <v>1866</v>
      </c>
      <c r="G17" s="7" t="str">
        <f t="shared" si="3"/>
        <v>text</v>
      </c>
      <c r="H17" s="26"/>
      <c r="I17" s="10"/>
      <c r="J17" s="11" t="s">
        <v>1895</v>
      </c>
      <c r="M17" s="4"/>
      <c r="N17" s="78"/>
      <c r="O17" s="78"/>
      <c r="P17" s="78" t="str">
        <f t="shared" si="4"/>
        <v>,shinryo_ym_max</v>
      </c>
      <c r="Q17" s="78" t="str">
        <f t="shared" si="0"/>
        <v>TEXT</v>
      </c>
      <c r="R17" s="78" t="str">
        <f t="shared" si="1"/>
        <v/>
      </c>
      <c r="S17" s="78" t="str">
        <f t="shared" si="5"/>
        <v/>
      </c>
      <c r="T17" s="78" t="str">
        <f t="shared" si="6"/>
        <v>-- 診療年月_最大</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milscm_2023_010.azn_202310_base_mart_patient_basic.shinryo_ym_max IS '診療年月_最大';</v>
      </c>
    </row>
    <row r="18" spans="1:52" s="25" customFormat="1">
      <c r="A18" s="4"/>
      <c r="B18" s="21">
        <f t="shared" si="2"/>
        <v>6</v>
      </c>
      <c r="C18" s="6" t="s">
        <v>1876</v>
      </c>
      <c r="D18" s="6" t="s">
        <v>990</v>
      </c>
      <c r="E18" s="8"/>
      <c r="F18" s="7" t="s">
        <v>1782</v>
      </c>
      <c r="G18" s="7" t="str">
        <f t="shared" si="3"/>
        <v>text</v>
      </c>
      <c r="H18" s="26"/>
      <c r="I18" s="10" t="s">
        <v>127</v>
      </c>
      <c r="J18" s="11" t="s">
        <v>1896</v>
      </c>
      <c r="M18" s="4"/>
      <c r="N18" s="78"/>
      <c r="O18" s="78"/>
      <c r="P18" s="78" t="str">
        <f t="shared" si="4"/>
        <v>,sex_kubun</v>
      </c>
      <c r="Q18" s="78" t="str">
        <f t="shared" si="0"/>
        <v>TEXT</v>
      </c>
      <c r="R18" s="78" t="str">
        <f t="shared" si="1"/>
        <v/>
      </c>
      <c r="S18" s="78" t="str">
        <f t="shared" si="5"/>
        <v>NOT NULL</v>
      </c>
      <c r="T18" s="78" t="str">
        <f t="shared" si="6"/>
        <v>-- 男女区分</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milscm_2023_010.azn_202310_base_mart_patient_basic.sex_kubun IS '男女区分';</v>
      </c>
    </row>
    <row r="19" spans="1:52" s="25" customFormat="1" ht="56.25">
      <c r="A19" s="4"/>
      <c r="B19" s="21">
        <f t="shared" si="2"/>
        <v>7</v>
      </c>
      <c r="C19" s="6" t="s">
        <v>1877</v>
      </c>
      <c r="D19" s="6" t="s">
        <v>323</v>
      </c>
      <c r="E19" s="8"/>
      <c r="F19" s="7" t="s">
        <v>1782</v>
      </c>
      <c r="G19" s="7" t="str">
        <f t="shared" si="3"/>
        <v>text</v>
      </c>
      <c r="H19" s="26"/>
      <c r="I19" s="10" t="s">
        <v>127</v>
      </c>
      <c r="J19" s="11" t="s">
        <v>1897</v>
      </c>
      <c r="M19" s="4"/>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milscm_2023_010.azn_202310_base_mart_patient_basic.birthday IS '生年月日';</v>
      </c>
    </row>
    <row r="20" spans="1:52" s="25" customFormat="1" ht="75">
      <c r="A20" s="4"/>
      <c r="B20" s="21">
        <f t="shared" si="2"/>
        <v>8</v>
      </c>
      <c r="C20" s="6" t="s">
        <v>1323</v>
      </c>
      <c r="D20" s="6" t="s">
        <v>1324</v>
      </c>
      <c r="E20" s="8"/>
      <c r="F20" s="7" t="s">
        <v>318</v>
      </c>
      <c r="G20" s="7" t="str">
        <f t="shared" si="3"/>
        <v>text</v>
      </c>
      <c r="H20" s="26"/>
      <c r="I20" s="10"/>
      <c r="J20" s="11" t="s">
        <v>1898</v>
      </c>
      <c r="M20" s="4"/>
      <c r="N20" s="78"/>
      <c r="O20" s="78"/>
      <c r="P20" s="78" t="str">
        <f t="shared" si="4"/>
        <v>,death_flag</v>
      </c>
      <c r="Q20" s="78" t="str">
        <f t="shared" si="0"/>
        <v>TEXT</v>
      </c>
      <c r="R20" s="78" t="str">
        <f t="shared" si="1"/>
        <v/>
      </c>
      <c r="S20" s="78" t="str">
        <f t="shared" si="5"/>
        <v/>
      </c>
      <c r="T20" s="78" t="str">
        <f t="shared" si="6"/>
        <v>-- 死亡フラグ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milscm_2023_010.azn_202310_base_mart_patient_basic.death_flag IS '死亡フラグ';</v>
      </c>
    </row>
    <row r="21" spans="1:52" s="25" customFormat="1" ht="75.75" thickBot="1">
      <c r="A21" s="4"/>
      <c r="B21" s="27">
        <f>ROW()-12</f>
        <v>9</v>
      </c>
      <c r="C21" s="57" t="s">
        <v>1325</v>
      </c>
      <c r="D21" s="57" t="s">
        <v>1326</v>
      </c>
      <c r="E21" s="56"/>
      <c r="F21" s="56" t="s">
        <v>318</v>
      </c>
      <c r="G21" s="56" t="str">
        <f t="shared" si="3"/>
        <v>text</v>
      </c>
      <c r="H21" s="59"/>
      <c r="I21" s="60"/>
      <c r="J21" s="64" t="s">
        <v>1899</v>
      </c>
      <c r="N21" s="78"/>
      <c r="O21" s="78"/>
      <c r="P21" s="78" t="str">
        <f t="shared" si="4"/>
        <v>,death_date</v>
      </c>
      <c r="Q21" s="78" t="str">
        <f t="shared" si="0"/>
        <v>TEXT</v>
      </c>
      <c r="R21" s="78" t="str">
        <f t="shared" si="1"/>
        <v/>
      </c>
      <c r="S21" s="78" t="str">
        <f t="shared" si="5"/>
        <v/>
      </c>
      <c r="T21" s="78" t="str">
        <f t="shared" si="6"/>
        <v>-- 死亡日時</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milscm_2023_010.azn_202310_base_mart_patient_basic.death_date IS '死亡日時';</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A00-000000000000}"/>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ENT_31_05</v>
      </c>
      <c r="E6" s="239"/>
      <c r="F6" s="239"/>
      <c r="G6" s="239"/>
      <c r="H6" s="239"/>
      <c r="I6" s="239"/>
      <c r="J6" s="240"/>
    </row>
    <row r="7" spans="1:45">
      <c r="B7" s="228" t="s">
        <v>115</v>
      </c>
      <c r="C7" s="229"/>
      <c r="D7" s="230" t="s">
        <v>3748</v>
      </c>
      <c r="E7" s="231"/>
      <c r="F7" s="231"/>
      <c r="G7" s="231"/>
      <c r="H7" s="231"/>
      <c r="I7" s="231"/>
      <c r="J7" s="232"/>
    </row>
    <row r="8" spans="1:45">
      <c r="B8" s="228" t="s">
        <v>116</v>
      </c>
      <c r="C8" s="229"/>
      <c r="D8" s="230" t="str">
        <f>エンティティ一覧!AE2&amp;"_"&amp;D5&amp;"_text_mml_common"</f>
        <v>azn_202310_base_text_mml_common</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バックアップ_MML共通テーブルから対象患者で絞り込んだ結果を格納するテーブル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milscm_2023_010.azn_202310_base_text_mml_common;</v>
      </c>
      <c r="O10" s="78"/>
      <c r="P10" s="78"/>
      <c r="Q10" s="78"/>
      <c r="R10" s="78"/>
      <c r="S10" s="78"/>
      <c r="T10" s="78"/>
      <c r="AJ10" s="78" t="str">
        <f>"ALTER TABLE ONLY "&amp;エンティティ一覧!$O$2&amp;"."&amp;D$8</f>
        <v>ALTER TABLE ONLY milscm_2023_010.azn_202310_base_text_mml_common</v>
      </c>
      <c r="AS10" s="78" t="str">
        <f>"ALTER TABLE "&amp;エンティティ一覧!$O$2&amp;"."&amp;D$8&amp;" OWNER TO pgmisgrp1;"</f>
        <v>ALTER TABLE milscm_2023_010.azn_202310_base_text_mml_common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milscm_2023_010.azn_202310_base_text_mml_common</v>
      </c>
      <c r="O11" s="78"/>
      <c r="P11" s="78"/>
      <c r="Q11" s="78"/>
      <c r="R11" s="78"/>
      <c r="S11" s="78"/>
      <c r="T11" s="78"/>
      <c r="AJ11" s="78" t="str">
        <f>"ADD CONSTRAINT "&amp;D$8&amp;"_pkey PRIMARY KEY"</f>
        <v>ADD CONSTRAINT azn_202310_base_text_mml_common_pkey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milscm_2023_010.azn_202310_base_text_mml_common IS 'ベース_MML共通';</v>
      </c>
    </row>
    <row r="13" spans="1:45" s="25" customFormat="1">
      <c r="A13" s="4"/>
      <c r="B13" s="21">
        <f>ROW()-12</f>
        <v>1</v>
      </c>
      <c r="C13" s="6" t="s">
        <v>2825</v>
      </c>
      <c r="D13" s="6" t="s">
        <v>2826</v>
      </c>
      <c r="E13" s="8" t="s">
        <v>127</v>
      </c>
      <c r="F13" s="8" t="s">
        <v>3317</v>
      </c>
      <c r="G13" s="7" t="str">
        <f>IF(F13="フラグ","boolean",IF(F13="文字列","text",IF(F13="整数","integer",IF(F13="実数","numeric",""))))</f>
        <v>integer</v>
      </c>
      <c r="H13" s="9"/>
      <c r="I13" s="10" t="s">
        <v>127</v>
      </c>
      <c r="J13" s="11"/>
      <c r="M13" s="4"/>
      <c r="N13" s="78"/>
      <c r="O13" s="78"/>
      <c r="P13" s="78" t="str">
        <f>IF(B13&lt;&gt;1,","&amp;D13,D13)</f>
        <v>zip_no</v>
      </c>
      <c r="Q13" s="78" t="str">
        <f t="shared" ref="Q13:Q23" si="0">UPPER(G13)</f>
        <v>INTEGER</v>
      </c>
      <c r="R13" s="78" t="str">
        <f t="shared" ref="R13:R2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milscm_2023_010.azn_202310_base_text_mml_common.zip_no IS 'ZipファイルNo';</v>
      </c>
    </row>
    <row r="14" spans="1:45" s="25" customFormat="1">
      <c r="A14" s="4"/>
      <c r="B14" s="21">
        <f t="shared" ref="B14:B22" si="2">ROW()-12</f>
        <v>2</v>
      </c>
      <c r="C14" s="6" t="s">
        <v>2828</v>
      </c>
      <c r="D14" s="6" t="s">
        <v>2829</v>
      </c>
      <c r="E14" s="8" t="s">
        <v>127</v>
      </c>
      <c r="F14" s="7" t="s">
        <v>3317</v>
      </c>
      <c r="G14" s="7" t="str">
        <f t="shared" ref="G14:G23" si="3">IF(F14="フラグ","boolean",IF(F14="文字列","text",IF(F14="整数","integer",IF(F14="実数","numeric",""))))</f>
        <v>integer</v>
      </c>
      <c r="H14" s="26"/>
      <c r="I14" s="10" t="s">
        <v>127</v>
      </c>
      <c r="J14" s="11"/>
      <c r="M14" s="4"/>
      <c r="N14" s="78"/>
      <c r="O14" s="78"/>
      <c r="P14" s="78" t="str">
        <f t="shared" ref="P14:P23" si="4">IF(B14&lt;&gt;1,","&amp;D14,D14)</f>
        <v>,file_no</v>
      </c>
      <c r="Q14" s="78" t="str">
        <f t="shared" si="0"/>
        <v>INTEGER</v>
      </c>
      <c r="R14" s="78" t="str">
        <f t="shared" si="1"/>
        <v/>
      </c>
      <c r="S14" s="78" t="str">
        <f t="shared" ref="S14:S23" si="5">IF(I14="○","NOT NULL","")</f>
        <v>NOT NULL</v>
      </c>
      <c r="T14" s="78" t="str">
        <f t="shared" ref="T14:T2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milscm_2023_010.azn_202310_base_text_mml_common.file_no IS 'ファイルNo';</v>
      </c>
    </row>
    <row r="15" spans="1:45" s="25" customFormat="1">
      <c r="A15" s="4"/>
      <c r="B15" s="21">
        <f t="shared" si="2"/>
        <v>3</v>
      </c>
      <c r="C15" s="6" t="s">
        <v>3306</v>
      </c>
      <c r="D15" s="6" t="s">
        <v>2831</v>
      </c>
      <c r="E15" s="8" t="s">
        <v>127</v>
      </c>
      <c r="F15" s="7" t="s">
        <v>3317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milscm_2023_010.azn_202310_base_text_mml_common.body_no IS '本文No';</v>
      </c>
    </row>
    <row r="16" spans="1:45" s="25" customFormat="1">
      <c r="A16" s="4"/>
      <c r="B16" s="21">
        <f t="shared" si="2"/>
        <v>4</v>
      </c>
      <c r="C16" s="6" t="s">
        <v>3307</v>
      </c>
      <c r="D16" s="6" t="s">
        <v>2448</v>
      </c>
      <c r="E16" s="8"/>
      <c r="F16" s="7" t="s">
        <v>318</v>
      </c>
      <c r="G16" s="7" t="str">
        <f t="shared" si="3"/>
        <v>text</v>
      </c>
      <c r="H16" s="26"/>
      <c r="I16" s="10" t="s">
        <v>127</v>
      </c>
      <c r="J16" s="11" t="s">
        <v>3318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milscm_2023_010.azn_202310_base_text_mml_common.facility_id_mml IS '施設ID（MML）';</v>
      </c>
    </row>
    <row r="17" spans="1:52" s="25" customFormat="1">
      <c r="A17" s="4"/>
      <c r="B17" s="21">
        <f t="shared" si="2"/>
        <v>5</v>
      </c>
      <c r="C17" s="6" t="s">
        <v>2833</v>
      </c>
      <c r="D17" s="6" t="s">
        <v>1291</v>
      </c>
      <c r="E17" s="8"/>
      <c r="F17" s="7" t="s">
        <v>318</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milscm_2023_010.azn_202310_base_text_mml_common.master_id IS '患者ID';</v>
      </c>
    </row>
    <row r="18" spans="1:52" s="25" customFormat="1">
      <c r="A18" s="4"/>
      <c r="B18" s="21">
        <f t="shared" si="2"/>
        <v>6</v>
      </c>
      <c r="C18" s="6" t="s">
        <v>3308</v>
      </c>
      <c r="D18" s="6" t="s">
        <v>1293</v>
      </c>
      <c r="E18" s="8"/>
      <c r="F18" s="7" t="s">
        <v>318</v>
      </c>
      <c r="G18" s="7" t="str">
        <f t="shared" si="3"/>
        <v>text</v>
      </c>
      <c r="H18" s="26"/>
      <c r="I18" s="10" t="s">
        <v>127</v>
      </c>
      <c r="J18" s="11"/>
      <c r="M18" s="4"/>
      <c r="N18" s="78"/>
      <c r="O18" s="78"/>
      <c r="P18" s="78" t="str">
        <f t="shared" si="4"/>
        <v>,uid</v>
      </c>
      <c r="Q18" s="78" t="str">
        <f t="shared" si="0"/>
        <v>TEXT</v>
      </c>
      <c r="R18" s="78" t="str">
        <f t="shared" si="1"/>
        <v/>
      </c>
      <c r="S18" s="78" t="str">
        <f t="shared" si="5"/>
        <v>NOT NULL</v>
      </c>
      <c r="T18" s="78" t="str">
        <f t="shared" si="6"/>
        <v>-- UID</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milscm_2023_010.azn_202310_base_text_mml_common.uid IS 'UID';</v>
      </c>
    </row>
    <row r="19" spans="1:52" s="25" customFormat="1">
      <c r="A19" s="4"/>
      <c r="B19" s="21">
        <f t="shared" si="2"/>
        <v>7</v>
      </c>
      <c r="C19" s="6" t="s">
        <v>3309</v>
      </c>
      <c r="D19" s="6" t="s">
        <v>3310</v>
      </c>
      <c r="E19" s="8"/>
      <c r="F19" s="7" t="s">
        <v>318</v>
      </c>
      <c r="G19" s="7" t="str">
        <f t="shared" si="3"/>
        <v>text</v>
      </c>
      <c r="H19" s="26"/>
      <c r="I19" s="10" t="s">
        <v>127</v>
      </c>
      <c r="J19" s="11" t="s">
        <v>2839</v>
      </c>
      <c r="M19" s="4"/>
      <c r="N19" s="78"/>
      <c r="O19" s="78"/>
      <c r="P19" s="78" t="str">
        <f t="shared" si="4"/>
        <v>,comfirm_date</v>
      </c>
      <c r="Q19" s="78" t="str">
        <f t="shared" si="0"/>
        <v>TEXT</v>
      </c>
      <c r="R19" s="78" t="str">
        <f t="shared" si="1"/>
        <v/>
      </c>
      <c r="S19" s="78" t="str">
        <f t="shared" si="5"/>
        <v>NOT NULL</v>
      </c>
      <c r="T19" s="78" t="str">
        <f t="shared" si="6"/>
        <v>-- 記載確定日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milscm_2023_010.azn_202310_base_text_mml_common.comfirm_date IS '記載確定日';</v>
      </c>
    </row>
    <row r="20" spans="1:52" s="25" customFormat="1">
      <c r="A20" s="4"/>
      <c r="B20" s="21">
        <f t="shared" si="2"/>
        <v>8</v>
      </c>
      <c r="C20" s="6" t="s">
        <v>3311</v>
      </c>
      <c r="D20" s="6" t="s">
        <v>3312</v>
      </c>
      <c r="E20" s="8"/>
      <c r="F20" s="7" t="s">
        <v>318</v>
      </c>
      <c r="G20" s="7" t="str">
        <f t="shared" si="3"/>
        <v>text</v>
      </c>
      <c r="H20" s="26"/>
      <c r="I20" s="10" t="s">
        <v>127</v>
      </c>
      <c r="J20" s="11"/>
      <c r="M20" s="4"/>
      <c r="N20" s="78"/>
      <c r="O20" s="78"/>
      <c r="P20" s="78" t="str">
        <f t="shared" si="4"/>
        <v>,mml_type</v>
      </c>
      <c r="Q20" s="78" t="str">
        <f t="shared" si="0"/>
        <v>TEXT</v>
      </c>
      <c r="R20" s="78" t="str">
        <f t="shared" si="1"/>
        <v/>
      </c>
      <c r="S20" s="78" t="str">
        <f t="shared" si="5"/>
        <v>NOT NULL</v>
      </c>
      <c r="T20" s="78" t="str">
        <f t="shared" si="6"/>
        <v>-- MMLモジュール種別</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milscm_2023_010.azn_202310_base_text_mml_common.mml_type IS 'MMLモジュール種別';</v>
      </c>
    </row>
    <row r="21" spans="1:52" s="25" customFormat="1">
      <c r="A21" s="4"/>
      <c r="B21" s="21">
        <f t="shared" si="2"/>
        <v>9</v>
      </c>
      <c r="C21" s="6" t="s">
        <v>3313</v>
      </c>
      <c r="D21" s="6" t="s">
        <v>3314</v>
      </c>
      <c r="E21" s="8"/>
      <c r="F21" s="7" t="s">
        <v>318</v>
      </c>
      <c r="G21" s="7" t="str">
        <f t="shared" si="3"/>
        <v>text</v>
      </c>
      <c r="H21" s="26"/>
      <c r="I21" s="10" t="s">
        <v>127</v>
      </c>
      <c r="J21" s="11" t="s">
        <v>3319</v>
      </c>
      <c r="M21" s="4"/>
      <c r="N21" s="78"/>
      <c r="O21" s="78"/>
      <c r="P21" s="78" t="str">
        <f t="shared" si="4"/>
        <v>,file_name</v>
      </c>
      <c r="Q21" s="78" t="str">
        <f t="shared" si="0"/>
        <v>TEXT</v>
      </c>
      <c r="R21" s="78" t="str">
        <f t="shared" si="1"/>
        <v/>
      </c>
      <c r="S21" s="78" t="str">
        <f t="shared" si="5"/>
        <v>NOT NULL</v>
      </c>
      <c r="T21" s="78" t="str">
        <f t="shared" si="6"/>
        <v>-- ファイル名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milscm_2023_010.azn_202310_base_text_mml_common.file_name IS 'ファイル名';</v>
      </c>
    </row>
    <row r="22" spans="1:52" s="25" customFormat="1">
      <c r="A22" s="4"/>
      <c r="B22" s="21">
        <f t="shared" si="2"/>
        <v>10</v>
      </c>
      <c r="C22" s="6" t="s">
        <v>3315</v>
      </c>
      <c r="D22" s="6" t="s">
        <v>2553</v>
      </c>
      <c r="E22" s="8"/>
      <c r="F22" s="7" t="s">
        <v>2463</v>
      </c>
      <c r="G22" s="7" t="str">
        <f t="shared" si="3"/>
        <v>boolean</v>
      </c>
      <c r="H22" s="26" t="b">
        <v>1</v>
      </c>
      <c r="I22" s="10" t="s">
        <v>127</v>
      </c>
      <c r="J22" s="11" t="s">
        <v>3320</v>
      </c>
      <c r="M22" s="4"/>
      <c r="N22" s="78"/>
      <c r="O22" s="78"/>
      <c r="P22" s="78" t="str">
        <f t="shared" si="4"/>
        <v>,new_f</v>
      </c>
      <c r="Q22" s="78" t="str">
        <f t="shared" si="0"/>
        <v>BOOLEAN</v>
      </c>
      <c r="R22" s="78" t="str">
        <f t="shared" si="1"/>
        <v>default TRUE</v>
      </c>
      <c r="S22" s="78" t="str">
        <f t="shared" si="5"/>
        <v>NOT NULL</v>
      </c>
      <c r="T22" s="78" t="str">
        <f t="shared" si="6"/>
        <v>-- 最新フラグ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milscm_2023_010.azn_202310_base_text_mml_common.new_f IS '最新フラグ';</v>
      </c>
    </row>
    <row r="23" spans="1:52" s="25" customFormat="1" ht="19.5" thickBot="1">
      <c r="A23" s="4"/>
      <c r="B23" s="27">
        <f>ROW()-12</f>
        <v>11</v>
      </c>
      <c r="C23" s="57" t="s">
        <v>3316</v>
      </c>
      <c r="D23" s="57" t="s">
        <v>1949</v>
      </c>
      <c r="E23" s="56"/>
      <c r="F23" s="56" t="s">
        <v>2463</v>
      </c>
      <c r="G23" s="56" t="str">
        <f t="shared" si="3"/>
        <v>boolean</v>
      </c>
      <c r="H23" s="59" t="b">
        <v>0</v>
      </c>
      <c r="I23" s="60" t="s">
        <v>127</v>
      </c>
      <c r="J23" s="64" t="s">
        <v>3321</v>
      </c>
      <c r="N23" s="78"/>
      <c r="O23" s="78"/>
      <c r="P23" s="78" t="str">
        <f t="shared" si="4"/>
        <v>,del_f</v>
      </c>
      <c r="Q23" s="78" t="str">
        <f t="shared" si="0"/>
        <v>BOOLEAN</v>
      </c>
      <c r="R23" s="78" t="str">
        <f t="shared" si="1"/>
        <v>default FALSE</v>
      </c>
      <c r="S23" s="78" t="str">
        <f t="shared" si="5"/>
        <v>NOT NULL</v>
      </c>
      <c r="T23" s="78" t="str">
        <f t="shared" si="6"/>
        <v>-- 削除フラグ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milscm_2023_010.azn_202310_base_text_mml_common.del_f IS '削除フラグ';</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B00-000000000000}"/>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ENT_31_06</v>
      </c>
      <c r="E6" s="239"/>
      <c r="F6" s="239"/>
      <c r="G6" s="239"/>
      <c r="H6" s="239"/>
      <c r="I6" s="239"/>
      <c r="J6" s="240"/>
    </row>
    <row r="7" spans="1:45">
      <c r="B7" s="228" t="s">
        <v>115</v>
      </c>
      <c r="C7" s="229"/>
      <c r="D7" s="230" t="s">
        <v>3749</v>
      </c>
      <c r="E7" s="231"/>
      <c r="F7" s="231"/>
      <c r="G7" s="231"/>
      <c r="H7" s="231"/>
      <c r="I7" s="231"/>
      <c r="J7" s="232"/>
    </row>
    <row r="8" spans="1:45">
      <c r="B8" s="228" t="s">
        <v>116</v>
      </c>
      <c r="C8" s="229"/>
      <c r="D8" s="230" t="str">
        <f>エンティティ一覧!AE2&amp;"_"&amp;D5&amp;"_text_mml_mmlrd_body"</f>
        <v>azn_202310_base_text_mml_mmlrd_body</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milscm_2023_010.azn_202310_base_text_mml_mmlrd_body;</v>
      </c>
      <c r="O10" s="78"/>
      <c r="P10" s="78"/>
      <c r="Q10" s="78"/>
      <c r="R10" s="78"/>
      <c r="S10" s="78"/>
      <c r="T10" s="78"/>
      <c r="AJ10" s="78" t="str">
        <f>"ALTER TABLE ONLY "&amp;エンティティ一覧!$O$2&amp;"."&amp;D$8</f>
        <v>ALTER TABLE ONLY milscm_2023_010.azn_202310_base_text_mml_mmlrd_body</v>
      </c>
      <c r="AS10" s="78" t="str">
        <f>"ALTER TABLE "&amp;エンティティ一覧!$O$2&amp;"."&amp;D$8&amp;" OWNER TO pgmisgrp1;"</f>
        <v>ALTER TABLE milscm_2023_010.azn_202310_base_text_mml_mmlrd_body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milscm_2023_010.azn_202310_base_text_mml_mmlrd_body</v>
      </c>
      <c r="O11" s="78"/>
      <c r="P11" s="78"/>
      <c r="Q11" s="78"/>
      <c r="R11" s="78"/>
      <c r="S11" s="78"/>
      <c r="T11" s="78"/>
      <c r="AJ11" s="78" t="str">
        <f>"ADD CONSTRAINT "&amp;D$8&amp;"_pkey PRIMARY KEY"</f>
        <v>ADD CONSTRAINT azn_202310_base_text_mml_mmlrd_body_pkey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milscm_2023_010.azn_202310_base_text_mml_mmlrd_body IS 'ベース_MML_診断履歴情報モジュール_本文';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milscm_2023_010.azn_202310_base_text_mml_mmlrd_body.zip_no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milscm_2023_010.azn_202310_base_text_mml_mmlrd_body.file_no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milscm_2023_010.azn_202310_base_text_mml_mmlrd_body.body_no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milscm_2023_010.azn_202310_base_text_mml_mmlrd_body.facility_id_mml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milscm_2023_010.azn_202310_base_text_mml_mmlrd_body.master_id IS '患者ID';</v>
      </c>
    </row>
    <row r="18" spans="1:52" s="25" customFormat="1">
      <c r="A18" s="4"/>
      <c r="B18" s="21">
        <f t="shared" si="2"/>
        <v>6</v>
      </c>
      <c r="C18" s="6" t="s">
        <v>1348</v>
      </c>
      <c r="D18" s="6" t="s">
        <v>2834</v>
      </c>
      <c r="E18" s="8"/>
      <c r="F18" s="7" t="s">
        <v>1866</v>
      </c>
      <c r="G18" s="7" t="str">
        <f t="shared" si="3"/>
        <v>text</v>
      </c>
      <c r="H18" s="26"/>
      <c r="I18" s="10"/>
      <c r="J18" s="11" t="s">
        <v>2839</v>
      </c>
      <c r="M18" s="4"/>
      <c r="N18" s="78"/>
      <c r="O18" s="78"/>
      <c r="P18" s="78" t="str">
        <f t="shared" si="4"/>
        <v>,start_date</v>
      </c>
      <c r="Q18" s="78" t="str">
        <f t="shared" si="0"/>
        <v>TEXT</v>
      </c>
      <c r="R18" s="78" t="str">
        <f t="shared" si="1"/>
        <v/>
      </c>
      <c r="S18" s="78" t="str">
        <f t="shared" si="5"/>
        <v/>
      </c>
      <c r="T18" s="78" t="str">
        <f t="shared" si="6"/>
        <v>-- 疾患開始日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milscm_2023_010.azn_202310_base_text_mml_mmlrd_body.start_date IS '疾患開始日';</v>
      </c>
    </row>
    <row r="19" spans="1:52" s="25" customFormat="1">
      <c r="A19" s="4"/>
      <c r="B19" s="21">
        <f t="shared" si="2"/>
        <v>7</v>
      </c>
      <c r="C19" s="6" t="s">
        <v>1350</v>
      </c>
      <c r="D19" s="6" t="s">
        <v>2835</v>
      </c>
      <c r="E19" s="8"/>
      <c r="F19" s="7" t="s">
        <v>1866</v>
      </c>
      <c r="G19" s="7" t="str">
        <f t="shared" si="3"/>
        <v>text</v>
      </c>
      <c r="H19" s="26"/>
      <c r="I19" s="10"/>
      <c r="J19" s="11" t="s">
        <v>2839</v>
      </c>
      <c r="M19" s="4"/>
      <c r="N19" s="78"/>
      <c r="O19" s="78"/>
      <c r="P19" s="78" t="str">
        <f t="shared" si="4"/>
        <v>,end_date</v>
      </c>
      <c r="Q19" s="78" t="str">
        <f t="shared" si="0"/>
        <v>TEXT</v>
      </c>
      <c r="R19" s="78" t="str">
        <f t="shared" si="1"/>
        <v/>
      </c>
      <c r="S19" s="78" t="str">
        <f t="shared" si="5"/>
        <v/>
      </c>
      <c r="T19" s="78" t="str">
        <f t="shared" si="6"/>
        <v>-- 疾患終了日</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milscm_2023_010.azn_202310_base_text_mml_mmlrd_body.end_date IS '疾患終了日';</v>
      </c>
    </row>
    <row r="20" spans="1:52" s="25" customFormat="1">
      <c r="A20" s="4"/>
      <c r="B20" s="21">
        <f t="shared" si="2"/>
        <v>8</v>
      </c>
      <c r="C20" s="6" t="s">
        <v>1352</v>
      </c>
      <c r="D20" s="6" t="s">
        <v>2836</v>
      </c>
      <c r="E20" s="8"/>
      <c r="F20" s="7" t="s">
        <v>1866</v>
      </c>
      <c r="G20" s="7" t="str">
        <f t="shared" si="3"/>
        <v>text</v>
      </c>
      <c r="H20" s="26"/>
      <c r="I20" s="10"/>
      <c r="J20" s="11"/>
      <c r="M20" s="4"/>
      <c r="N20" s="78"/>
      <c r="O20" s="78"/>
      <c r="P20" s="78" t="str">
        <f t="shared" si="4"/>
        <v>,outcome</v>
      </c>
      <c r="Q20" s="78" t="str">
        <f t="shared" si="0"/>
        <v>TEXT</v>
      </c>
      <c r="R20" s="78" t="str">
        <f t="shared" si="1"/>
        <v/>
      </c>
      <c r="S20" s="78" t="str">
        <f t="shared" si="5"/>
        <v/>
      </c>
      <c r="T20" s="78" t="str">
        <f t="shared" si="6"/>
        <v>-- 転帰</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milscm_2023_010.azn_202310_base_text_mml_mmlrd_body.outcome IS '転帰';</v>
      </c>
    </row>
    <row r="21" spans="1:52" s="25" customFormat="1" ht="19.5" thickBot="1">
      <c r="A21" s="4"/>
      <c r="B21" s="27">
        <f>ROW()-12</f>
        <v>9</v>
      </c>
      <c r="C21" s="57" t="s">
        <v>1354</v>
      </c>
      <c r="D21" s="57" t="s">
        <v>2837</v>
      </c>
      <c r="E21" s="56"/>
      <c r="F21" s="56" t="s">
        <v>1866</v>
      </c>
      <c r="G21" s="56" t="str">
        <f t="shared" si="3"/>
        <v>text</v>
      </c>
      <c r="H21" s="59"/>
      <c r="I21" s="60"/>
      <c r="J21" s="64"/>
      <c r="N21" s="78"/>
      <c r="O21" s="78"/>
      <c r="P21" s="78" t="str">
        <f t="shared" si="4"/>
        <v>,first_encounter_date</v>
      </c>
      <c r="Q21" s="78" t="str">
        <f t="shared" si="0"/>
        <v>TEXT</v>
      </c>
      <c r="R21" s="78" t="str">
        <f t="shared" si="1"/>
        <v/>
      </c>
      <c r="S21" s="78" t="str">
        <f t="shared" si="5"/>
        <v/>
      </c>
      <c r="T21" s="78" t="str">
        <f t="shared" si="6"/>
        <v>-- 疾患の初診日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milscm_2023_010.azn_202310_base_text_mml_mmlrd_body.first_encounter_date IS '疾患の初診日';</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C00-000000000000}"/>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AZ2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ENT_31_07</v>
      </c>
      <c r="E6" s="239"/>
      <c r="F6" s="239"/>
      <c r="G6" s="239"/>
      <c r="H6" s="239"/>
      <c r="I6" s="239"/>
      <c r="J6" s="240"/>
    </row>
    <row r="7" spans="1:45">
      <c r="B7" s="228" t="s">
        <v>115</v>
      </c>
      <c r="C7" s="229"/>
      <c r="D7" s="230" t="s">
        <v>3750</v>
      </c>
      <c r="E7" s="231"/>
      <c r="F7" s="231"/>
      <c r="G7" s="231"/>
      <c r="H7" s="231"/>
      <c r="I7" s="231"/>
      <c r="J7" s="232"/>
    </row>
    <row r="8" spans="1:45">
      <c r="B8" s="228" t="s">
        <v>116</v>
      </c>
      <c r="C8" s="229"/>
      <c r="D8" s="230" t="str">
        <f>エンティティ一覧!AE2&amp;"_"&amp;D5&amp;"_text_mml_mmlrd_byomei"</f>
        <v>azn_202310_base_text_mml_mmlrd_byomei</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milscm_2023_010.azn_202310_base_text_mml_mmlrd_byomei;</v>
      </c>
      <c r="O10" s="78"/>
      <c r="P10" s="78"/>
      <c r="Q10" s="78"/>
      <c r="R10" s="78"/>
      <c r="S10" s="78"/>
      <c r="T10" s="78"/>
      <c r="AJ10" s="78" t="str">
        <f>"ALTER TABLE ONLY "&amp;エンティティ一覧!$O$2&amp;"."&amp;D$8</f>
        <v>ALTER TABLE ONLY milscm_2023_010.azn_202310_base_text_mml_mmlrd_byomei</v>
      </c>
      <c r="AS10" s="78" t="str">
        <f>"ALTER TABLE "&amp;エンティティ一覧!$O$2&amp;"."&amp;D$8&amp;" OWNER TO pgmisgrp1;"</f>
        <v>ALTER TABLE milscm_2023_010.azn_202310_base_text_mml_mmlrd_byomei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milscm_2023_010.azn_202310_base_text_mml_mmlrd_byomei</v>
      </c>
      <c r="O11" s="78"/>
      <c r="P11" s="78"/>
      <c r="Q11" s="78"/>
      <c r="R11" s="78"/>
      <c r="S11" s="78"/>
      <c r="T11" s="78"/>
      <c r="AJ11" s="78" t="str">
        <f>"ADD CONSTRAINT "&amp;D$8&amp;"_pkey PRIMARY KEY"</f>
        <v>ADD CONSTRAINT azn_202310_base_text_mml_mmlrd_byomei_pkey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milscm_2023_010.azn_202310_base_text_mml_mmlrd_byomei IS 'ベース_MML_診断履歴情報モジュール_病名';</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2" si="0">UPPER(G13)</f>
        <v>INTEGER</v>
      </c>
      <c r="R13" s="78" t="str">
        <f t="shared" ref="R13:R22"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milscm_2023_010.azn_202310_base_text_mml_mmlrd_byomei.zip_no IS 'ZipファイルNo';</v>
      </c>
    </row>
    <row r="14" spans="1:45" s="25" customFormat="1">
      <c r="A14" s="4"/>
      <c r="B14" s="21">
        <f t="shared" ref="B14:B21" si="2">ROW()-12</f>
        <v>2</v>
      </c>
      <c r="C14" s="6" t="s">
        <v>2828</v>
      </c>
      <c r="D14" s="6" t="s">
        <v>2829</v>
      </c>
      <c r="E14" s="8" t="s">
        <v>127</v>
      </c>
      <c r="F14" s="7" t="s">
        <v>2827</v>
      </c>
      <c r="G14" s="7" t="str">
        <f t="shared" ref="G14:G22" si="3">IF(F14="フラグ","boolean",IF(F14="文字列","text",IF(F14="整数","integer",IF(F14="実数","numeric",""))))</f>
        <v>integer</v>
      </c>
      <c r="H14" s="26"/>
      <c r="I14" s="10" t="s">
        <v>127</v>
      </c>
      <c r="J14" s="11"/>
      <c r="M14" s="4"/>
      <c r="N14" s="78"/>
      <c r="O14" s="78"/>
      <c r="P14" s="78" t="str">
        <f t="shared" ref="P14:P22" si="4">IF(B14&lt;&gt;1,","&amp;D14,D14)</f>
        <v>,file_no</v>
      </c>
      <c r="Q14" s="78" t="str">
        <f t="shared" si="0"/>
        <v>INTEGER</v>
      </c>
      <c r="R14" s="78" t="str">
        <f t="shared" si="1"/>
        <v/>
      </c>
      <c r="S14" s="78" t="str">
        <f t="shared" ref="S14:S22" si="5">IF(I14="○","NOT NULL","")</f>
        <v>NOT NULL</v>
      </c>
      <c r="T14" s="78" t="str">
        <f t="shared" ref="T14:T22"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milscm_2023_010.azn_202310_base_text_mml_mmlrd_byomei.file_no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milscm_2023_010.azn_202310_base_text_mml_mmlrd_byomei.body_no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milscm_2023_010.azn_202310_base_text_mml_mmlrd_byomei.facility_id_mml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milscm_2023_010.azn_202310_base_text_mml_mmlrd_byomei.master_id IS '患者ID';</v>
      </c>
    </row>
    <row r="18" spans="1:52" s="25" customFormat="1">
      <c r="A18" s="4"/>
      <c r="B18" s="21">
        <f t="shared" si="2"/>
        <v>6</v>
      </c>
      <c r="C18" s="6" t="s">
        <v>2841</v>
      </c>
      <c r="D18" s="6" t="s">
        <v>2842</v>
      </c>
      <c r="E18" s="8" t="s">
        <v>127</v>
      </c>
      <c r="F18" s="7" t="s">
        <v>2827</v>
      </c>
      <c r="G18" s="7" t="str">
        <f t="shared" si="3"/>
        <v>integer</v>
      </c>
      <c r="H18" s="26"/>
      <c r="I18" s="10" t="s">
        <v>127</v>
      </c>
      <c r="J18" s="11"/>
      <c r="M18" s="4"/>
      <c r="N18" s="78"/>
      <c r="O18" s="78"/>
      <c r="P18" s="78" t="str">
        <f t="shared" si="4"/>
        <v>,byomei_no</v>
      </c>
      <c r="Q18" s="78" t="str">
        <f t="shared" si="0"/>
        <v>INTEGER</v>
      </c>
      <c r="R18" s="78" t="str">
        <f t="shared" si="1"/>
        <v/>
      </c>
      <c r="S18" s="78" t="str">
        <f t="shared" si="5"/>
        <v>NOT NULL</v>
      </c>
      <c r="T18" s="78" t="str">
        <f t="shared" si="6"/>
        <v>-- 病名No</v>
      </c>
      <c r="U18" s="4"/>
      <c r="AA18" s="4"/>
      <c r="AB18" s="4"/>
      <c r="AC18" s="4"/>
      <c r="AD18" s="4"/>
      <c r="AE18" s="4"/>
      <c r="AF18" s="4"/>
      <c r="AG18" s="4"/>
      <c r="AH18" s="4"/>
      <c r="AI18" s="4"/>
      <c r="AJ18" s="78" t="str">
        <f>IF(E18="○",IF(COUNTA(E$13:E18)=1,"",",")&amp;D18,"")</f>
        <v>,byomei_no</v>
      </c>
      <c r="AK18" s="4"/>
      <c r="AL18" s="4"/>
      <c r="AM18" s="4"/>
      <c r="AN18" s="4"/>
      <c r="AO18" s="4"/>
      <c r="AP18" s="4"/>
      <c r="AQ18" s="4"/>
      <c r="AR18" s="4"/>
      <c r="AS18" s="78" t="str">
        <f>"COMMENT ON COLUMN "&amp;エンティティ一覧!$O$2&amp;"."&amp;D$8&amp;"."&amp;D18&amp;" IS '"&amp;C18&amp;"';"</f>
        <v>COMMENT ON COLUMN milscm_2023_010.azn_202310_base_text_mml_mmlrd_byomei.byomei_no IS '病名No';</v>
      </c>
    </row>
    <row r="19" spans="1:52" s="25" customFormat="1">
      <c r="A19" s="4"/>
      <c r="B19" s="21">
        <f t="shared" si="2"/>
        <v>7</v>
      </c>
      <c r="C19" s="6" t="s">
        <v>2843</v>
      </c>
      <c r="D19" s="6" t="s">
        <v>2844</v>
      </c>
      <c r="E19" s="8"/>
      <c r="F19" s="7" t="s">
        <v>1866</v>
      </c>
      <c r="G19" s="7" t="str">
        <f t="shared" si="3"/>
        <v>text</v>
      </c>
      <c r="H19" s="26"/>
      <c r="I19" s="10"/>
      <c r="J19" s="11" t="s">
        <v>2849</v>
      </c>
      <c r="M19" s="4"/>
      <c r="N19" s="78"/>
      <c r="O19" s="78"/>
      <c r="P19" s="78" t="str">
        <f t="shared" si="4"/>
        <v>,tag_name</v>
      </c>
      <c r="Q19" s="78" t="str">
        <f t="shared" si="0"/>
        <v>TEXT</v>
      </c>
      <c r="R19" s="78" t="str">
        <f t="shared" si="1"/>
        <v/>
      </c>
      <c r="S19" s="78" t="str">
        <f t="shared" si="5"/>
        <v/>
      </c>
      <c r="T19" s="78" t="str">
        <f t="shared" si="6"/>
        <v>-- タグ名</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milscm_2023_010.azn_202310_base_text_mml_mmlrd_byomei.tag_name IS 'タグ名';</v>
      </c>
    </row>
    <row r="20" spans="1:52" s="25" customFormat="1" ht="37.5">
      <c r="A20" s="4"/>
      <c r="B20" s="21">
        <f t="shared" si="2"/>
        <v>8</v>
      </c>
      <c r="C20" s="6" t="s">
        <v>1366</v>
      </c>
      <c r="D20" s="6" t="s">
        <v>2845</v>
      </c>
      <c r="E20" s="8"/>
      <c r="F20" s="7" t="s">
        <v>1866</v>
      </c>
      <c r="G20" s="7" t="str">
        <f t="shared" si="3"/>
        <v>text</v>
      </c>
      <c r="H20" s="26"/>
      <c r="I20" s="10"/>
      <c r="J20" s="11" t="s">
        <v>2850</v>
      </c>
      <c r="M20" s="4"/>
      <c r="N20" s="78"/>
      <c r="O20" s="78"/>
      <c r="P20" s="78" t="str">
        <f t="shared" si="4"/>
        <v>,diagnosis</v>
      </c>
      <c r="Q20" s="78" t="str">
        <f t="shared" si="0"/>
        <v>TEXT</v>
      </c>
      <c r="R20" s="78" t="str">
        <f t="shared" si="1"/>
        <v/>
      </c>
      <c r="S20" s="78" t="str">
        <f t="shared" si="5"/>
        <v/>
      </c>
      <c r="T20" s="78" t="str">
        <f t="shared" si="6"/>
        <v>-- 病名</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milscm_2023_010.azn_202310_base_text_mml_mmlrd_byomei.diagnosis IS '病名';</v>
      </c>
    </row>
    <row r="21" spans="1:52" s="25" customFormat="1">
      <c r="A21" s="4"/>
      <c r="B21" s="21">
        <f t="shared" si="2"/>
        <v>9</v>
      </c>
      <c r="C21" s="6" t="s">
        <v>2846</v>
      </c>
      <c r="D21" s="6" t="s">
        <v>360</v>
      </c>
      <c r="E21" s="8"/>
      <c r="F21" s="7" t="s">
        <v>1866</v>
      </c>
      <c r="G21" s="7" t="str">
        <f t="shared" si="3"/>
        <v>text</v>
      </c>
      <c r="H21" s="26"/>
      <c r="I21" s="10"/>
      <c r="J21" s="11"/>
      <c r="M21" s="4"/>
      <c r="N21" s="78"/>
      <c r="O21" s="78"/>
      <c r="P21" s="78" t="str">
        <f t="shared" si="4"/>
        <v>,code</v>
      </c>
      <c r="Q21" s="78" t="str">
        <f t="shared" si="0"/>
        <v>TEXT</v>
      </c>
      <c r="R21" s="78" t="str">
        <f t="shared" si="1"/>
        <v/>
      </c>
      <c r="S21" s="78" t="str">
        <f t="shared" si="5"/>
        <v/>
      </c>
      <c r="T21" s="78" t="str">
        <f t="shared" si="6"/>
        <v>-- コード値</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milscm_2023_010.azn_202310_base_text_mml_mmlrd_byomei.code IS 'コード値';</v>
      </c>
    </row>
    <row r="22" spans="1:52" s="25" customFormat="1" ht="19.5" thickBot="1">
      <c r="A22" s="4"/>
      <c r="B22" s="27">
        <f>ROW()-12</f>
        <v>10</v>
      </c>
      <c r="C22" s="57" t="s">
        <v>2847</v>
      </c>
      <c r="D22" s="57" t="s">
        <v>2848</v>
      </c>
      <c r="E22" s="56"/>
      <c r="F22" s="56" t="s">
        <v>1866</v>
      </c>
      <c r="G22" s="56" t="str">
        <f t="shared" si="3"/>
        <v>text</v>
      </c>
      <c r="H22" s="59"/>
      <c r="I22" s="60"/>
      <c r="J22" s="64"/>
      <c r="N22" s="78"/>
      <c r="O22" s="78"/>
      <c r="P22" s="78" t="str">
        <f t="shared" si="4"/>
        <v>,system</v>
      </c>
      <c r="Q22" s="78" t="str">
        <f t="shared" si="0"/>
        <v>TEXT</v>
      </c>
      <c r="R22" s="78" t="str">
        <f t="shared" si="1"/>
        <v/>
      </c>
      <c r="S22" s="78" t="str">
        <f t="shared" si="5"/>
        <v/>
      </c>
      <c r="T22" s="78" t="str">
        <f t="shared" si="6"/>
        <v>-- コード体系名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milscm_2023_010.azn_202310_base_text_mml_mmlrd_byomei.system IS 'コード体系名';</v>
      </c>
    </row>
    <row r="23" spans="1:52">
      <c r="L23" s="25"/>
      <c r="M23" s="25"/>
      <c r="N23" s="78" t="s">
        <v>142</v>
      </c>
      <c r="O23" s="78"/>
      <c r="P23" s="78"/>
      <c r="Q23" s="78"/>
      <c r="R23" s="78"/>
      <c r="S23" s="78"/>
      <c r="T23" s="78"/>
      <c r="V23" s="25"/>
      <c r="W23" s="25"/>
      <c r="X23" s="25"/>
      <c r="Y23" s="25"/>
      <c r="Z23" s="25"/>
      <c r="AJ23" s="78"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D00-000000000000}"/>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AZ2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ENT_31_08</v>
      </c>
      <c r="E6" s="239"/>
      <c r="F6" s="239"/>
      <c r="G6" s="239"/>
      <c r="H6" s="239"/>
      <c r="I6" s="239"/>
      <c r="J6" s="240"/>
    </row>
    <row r="7" spans="1:45">
      <c r="B7" s="228" t="s">
        <v>115</v>
      </c>
      <c r="C7" s="229"/>
      <c r="D7" s="230" t="s">
        <v>3751</v>
      </c>
      <c r="E7" s="231"/>
      <c r="F7" s="231"/>
      <c r="G7" s="231"/>
      <c r="H7" s="231"/>
      <c r="I7" s="231"/>
      <c r="J7" s="232"/>
    </row>
    <row r="8" spans="1:45">
      <c r="B8" s="228" t="s">
        <v>116</v>
      </c>
      <c r="C8" s="229"/>
      <c r="D8" s="230" t="str">
        <f>エンティティ一覧!AE2&amp;"_"&amp;D5&amp;"_text_mml_mmlps_body"</f>
        <v>azn_202310_base_text_mml_mmlps_body</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milscm_2023_010.azn_202310_base_text_mml_mmlps_body;</v>
      </c>
      <c r="O10" s="78"/>
      <c r="P10" s="78"/>
      <c r="Q10" s="78"/>
      <c r="R10" s="78"/>
      <c r="S10" s="78"/>
      <c r="T10" s="78"/>
      <c r="AJ10" s="78" t="str">
        <f>"ALTER TABLE ONLY "&amp;エンティティ一覧!$O$2&amp;"."&amp;D$8</f>
        <v>ALTER TABLE ONLY milscm_2023_010.azn_202310_base_text_mml_mmlps_body</v>
      </c>
      <c r="AS10" s="78" t="str">
        <f>"ALTER TABLE "&amp;エンティティ一覧!$O$2&amp;"."&amp;D$8&amp;" OWNER TO pgmisgrp1;"</f>
        <v>ALTER TABLE milscm_2023_010.azn_202310_base_text_mml_mmlps_body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milscm_2023_010.azn_202310_base_text_mml_mmlps_body</v>
      </c>
      <c r="O11" s="78"/>
      <c r="P11" s="78"/>
      <c r="Q11" s="78"/>
      <c r="R11" s="78"/>
      <c r="S11" s="78"/>
      <c r="T11" s="78"/>
      <c r="AJ11" s="78" t="str">
        <f>"ADD CONSTRAINT "&amp;D$8&amp;"_pkey PRIMARY KEY"</f>
        <v>ADD CONSTRAINT azn_202310_base_text_mml_mmlps_body_pkey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milscm_2023_010.azn_202310_base_text_mml_mmlps_body IS 'ベース_MML_処方箋モジュール_本文';</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0" si="0">UPPER(G13)</f>
        <v>INTEGER</v>
      </c>
      <c r="R13" s="78" t="str">
        <f t="shared" ref="R13:R20"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milscm_2023_010.azn_202310_base_text_mml_mmlps_body.zip_no IS 'ZipファイルNo';</v>
      </c>
    </row>
    <row r="14" spans="1:45" s="25" customFormat="1">
      <c r="A14" s="4"/>
      <c r="B14" s="21">
        <f t="shared" ref="B14:B19" si="2">ROW()-12</f>
        <v>2</v>
      </c>
      <c r="C14" s="6" t="s">
        <v>2828</v>
      </c>
      <c r="D14" s="6" t="s">
        <v>2829</v>
      </c>
      <c r="E14" s="8" t="s">
        <v>127</v>
      </c>
      <c r="F14" s="7" t="s">
        <v>2827</v>
      </c>
      <c r="G14" s="7" t="str">
        <f t="shared" ref="G14:G20" si="3">IF(F14="フラグ","boolean",IF(F14="文字列","text",IF(F14="整数","integer",IF(F14="実数","numeric",""))))</f>
        <v>integer</v>
      </c>
      <c r="H14" s="26"/>
      <c r="I14" s="10" t="s">
        <v>127</v>
      </c>
      <c r="J14" s="11"/>
      <c r="M14" s="4"/>
      <c r="N14" s="78"/>
      <c r="O14" s="78"/>
      <c r="P14" s="78" t="str">
        <f t="shared" ref="P14:P20" si="4">IF(B14&lt;&gt;1,","&amp;D14,D14)</f>
        <v>,file_no</v>
      </c>
      <c r="Q14" s="78" t="str">
        <f t="shared" si="0"/>
        <v>INTEGER</v>
      </c>
      <c r="R14" s="78" t="str">
        <f t="shared" si="1"/>
        <v/>
      </c>
      <c r="S14" s="78" t="str">
        <f t="shared" ref="S14:S20" si="5">IF(I14="○","NOT NULL","")</f>
        <v>NOT NULL</v>
      </c>
      <c r="T14" s="78" t="str">
        <f t="shared" ref="T14:T20"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milscm_2023_010.azn_202310_base_text_mml_mmlps_body.file_no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milscm_2023_010.azn_202310_base_text_mml_mmlps_body.body_no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milscm_2023_010.azn_202310_base_text_mml_mmlps_body.facility_id_mml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milscm_2023_010.azn_202310_base_text_mml_mmlps_body.master_id IS '患者ID';</v>
      </c>
    </row>
    <row r="18" spans="1:52" s="25" customFormat="1" ht="37.5">
      <c r="A18" s="4"/>
      <c r="B18" s="21">
        <f t="shared" si="2"/>
        <v>6</v>
      </c>
      <c r="C18" s="6" t="s">
        <v>2857</v>
      </c>
      <c r="D18" s="6" t="s">
        <v>2858</v>
      </c>
      <c r="E18" s="8"/>
      <c r="F18" s="7" t="s">
        <v>1866</v>
      </c>
      <c r="G18" s="7" t="str">
        <f t="shared" si="3"/>
        <v>text</v>
      </c>
      <c r="H18" s="26"/>
      <c r="I18" s="10"/>
      <c r="J18" s="11" t="s">
        <v>2863</v>
      </c>
      <c r="M18" s="4"/>
      <c r="N18" s="78"/>
      <c r="O18" s="78"/>
      <c r="P18" s="78" t="str">
        <f t="shared" si="4"/>
        <v>,issued_to</v>
      </c>
      <c r="Q18" s="78" t="str">
        <f t="shared" si="0"/>
        <v>TEXT</v>
      </c>
      <c r="R18" s="78" t="str">
        <f t="shared" si="1"/>
        <v/>
      </c>
      <c r="S18" s="78" t="str">
        <f t="shared" si="5"/>
        <v/>
      </c>
      <c r="T18" s="78" t="str">
        <f t="shared" si="6"/>
        <v>-- 院外、院内処方箋の別</v>
      </c>
      <c r="U18" s="4"/>
      <c r="AA18" s="4"/>
      <c r="AB18" s="4"/>
      <c r="AC18" s="4"/>
      <c r="AD18" s="4"/>
      <c r="AE18" s="4"/>
      <c r="AF18" s="4"/>
      <c r="AG18" s="4"/>
      <c r="AH18" s="4"/>
      <c r="AI18" s="4"/>
      <c r="AJ18" s="78" t="str">
        <f>IF(E18="○",IF(COUNTA(E$13:E18)=1,"",",")&amp;D18,"")</f>
        <v/>
      </c>
      <c r="AK18" s="4"/>
      <c r="AL18" s="4"/>
      <c r="AM18" s="4"/>
      <c r="AN18" s="4"/>
      <c r="AO18" s="4"/>
      <c r="AP18" s="4"/>
      <c r="AQ18" s="4"/>
      <c r="AR18" s="4"/>
      <c r="AS18" s="78" t="str">
        <f>"COMMENT ON COLUMN "&amp;エンティティ一覧!$O$2&amp;"."&amp;D$8&amp;"."&amp;D18&amp;" IS '"&amp;C18&amp;"';"</f>
        <v>COMMENT ON COLUMN milscm_2023_010.azn_202310_base_text_mml_mmlps_body.issued_to IS '院外、院内処方箋の別';</v>
      </c>
    </row>
    <row r="19" spans="1:52" s="25" customFormat="1" ht="31.5">
      <c r="A19" s="4"/>
      <c r="B19" s="21">
        <f t="shared" si="2"/>
        <v>7</v>
      </c>
      <c r="C19" s="6" t="s">
        <v>2859</v>
      </c>
      <c r="D19" s="6" t="s">
        <v>2860</v>
      </c>
      <c r="E19" s="8"/>
      <c r="F19" s="7" t="s">
        <v>1866</v>
      </c>
      <c r="G19" s="7" t="str">
        <f t="shared" si="3"/>
        <v>text</v>
      </c>
      <c r="H19" s="26"/>
      <c r="I19" s="10"/>
      <c r="J19" s="11"/>
      <c r="M19" s="4"/>
      <c r="N19" s="78"/>
      <c r="O19" s="78"/>
      <c r="P19" s="78" t="str">
        <f t="shared" si="4"/>
        <v>,narcotic_prescription_license_no</v>
      </c>
      <c r="Q19" s="78" t="str">
        <f t="shared" si="0"/>
        <v>TEXT</v>
      </c>
      <c r="R19" s="78" t="str">
        <f t="shared" si="1"/>
        <v/>
      </c>
      <c r="S19" s="78" t="str">
        <f t="shared" si="5"/>
        <v/>
      </c>
      <c r="T19" s="78" t="str">
        <f t="shared" si="6"/>
        <v>-- 麻薬施用者番号</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milscm_2023_010.azn_202310_base_text_mml_mmlps_body.narcotic_prescription_license_no IS '麻薬施用者番号';</v>
      </c>
    </row>
    <row r="20" spans="1:52" s="25" customFormat="1" ht="19.5" thickBot="1">
      <c r="A20" s="4"/>
      <c r="B20" s="27">
        <f>ROW()-12</f>
        <v>8</v>
      </c>
      <c r="C20" s="57" t="s">
        <v>2861</v>
      </c>
      <c r="D20" s="57" t="s">
        <v>2862</v>
      </c>
      <c r="E20" s="56"/>
      <c r="F20" s="56" t="s">
        <v>1866</v>
      </c>
      <c r="G20" s="56" t="str">
        <f t="shared" si="3"/>
        <v>text</v>
      </c>
      <c r="H20" s="59"/>
      <c r="I20" s="60"/>
      <c r="J20" s="64"/>
      <c r="N20" s="78"/>
      <c r="O20" s="78"/>
      <c r="P20" s="78" t="str">
        <f t="shared" si="4"/>
        <v>,comment</v>
      </c>
      <c r="Q20" s="78" t="str">
        <f t="shared" si="0"/>
        <v>TEXT</v>
      </c>
      <c r="R20" s="78" t="str">
        <f t="shared" si="1"/>
        <v/>
      </c>
      <c r="S20" s="78" t="str">
        <f t="shared" si="5"/>
        <v/>
      </c>
      <c r="T20" s="78" t="str">
        <f t="shared" si="6"/>
        <v>-- コメント</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milscm_2023_010.azn_202310_base_text_mml_mmlps_body.comment IS 'コメント';</v>
      </c>
    </row>
    <row r="21" spans="1:52">
      <c r="L21" s="25"/>
      <c r="M21" s="25"/>
      <c r="N21" s="78" t="s">
        <v>142</v>
      </c>
      <c r="O21" s="78"/>
      <c r="P21" s="78"/>
      <c r="Q21" s="78"/>
      <c r="R21" s="78"/>
      <c r="S21" s="78"/>
      <c r="T21" s="78"/>
      <c r="V21" s="25"/>
      <c r="W21" s="25"/>
      <c r="X21" s="25"/>
      <c r="Y21" s="25"/>
      <c r="Z21" s="25"/>
      <c r="AJ21" s="78"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E00-000000000000}"/>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AZ3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ENT_31_09</v>
      </c>
      <c r="E6" s="239"/>
      <c r="F6" s="239"/>
      <c r="G6" s="239"/>
      <c r="H6" s="239"/>
      <c r="I6" s="239"/>
      <c r="J6" s="240"/>
    </row>
    <row r="7" spans="1:45">
      <c r="B7" s="228" t="s">
        <v>115</v>
      </c>
      <c r="C7" s="229"/>
      <c r="D7" s="230" t="s">
        <v>3752</v>
      </c>
      <c r="E7" s="231"/>
      <c r="F7" s="231"/>
      <c r="G7" s="231"/>
      <c r="H7" s="231"/>
      <c r="I7" s="231"/>
      <c r="J7" s="232"/>
    </row>
    <row r="8" spans="1:45">
      <c r="B8" s="228" t="s">
        <v>116</v>
      </c>
      <c r="C8" s="229"/>
      <c r="D8" s="230" t="str">
        <f>エンティティ一覧!AE2&amp;"_"&amp;D5&amp;"_text_mml_mmlps_medication"</f>
        <v>azn_202310_base_text_mml_mmlps_medication</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milscm_2023_010.azn_202310_base_text_mml_mmlps_medication;</v>
      </c>
      <c r="O10" s="78"/>
      <c r="P10" s="78"/>
      <c r="Q10" s="78"/>
      <c r="R10" s="78"/>
      <c r="S10" s="78"/>
      <c r="T10" s="78"/>
      <c r="AJ10" s="78" t="str">
        <f>"ALTER TABLE ONLY "&amp;エンティティ一覧!$O$2&amp;"."&amp;D$8</f>
        <v>ALTER TABLE ONLY milscm_2023_010.azn_202310_base_text_mml_mmlps_medication</v>
      </c>
      <c r="AS10" s="78" t="str">
        <f>"ALTER TABLE "&amp;エンティティ一覧!$O$2&amp;"."&amp;D$8&amp;" OWNER TO pgmisgrp1;"</f>
        <v>ALTER TABLE milscm_2023_010.azn_202310_base_text_mml_mmlps_medication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milscm_2023_010.azn_202310_base_text_mml_mmlps_medication</v>
      </c>
      <c r="O11" s="78"/>
      <c r="P11" s="78"/>
      <c r="Q11" s="78"/>
      <c r="R11" s="78"/>
      <c r="S11" s="78"/>
      <c r="T11" s="78"/>
      <c r="AJ11" s="78" t="str">
        <f>"ADD CONSTRAINT "&amp;D$8&amp;"_pkey PRIMARY KEY"</f>
        <v>ADD CONSTRAINT azn_202310_base_text_mml_mmlps_medication_pkey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milscm_2023_010.azn_202310_base_text_mml_mmlps_medication IS 'ベース_MML_処方箋モジュール_投薬';</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33" si="0">UPPER(G13)</f>
        <v>INTEGER</v>
      </c>
      <c r="R13" s="78" t="str">
        <f t="shared" ref="R13:R33"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milscm_2023_010.azn_202310_base_text_mml_mmlps_medication.zip_no IS 'ZipファイルNo';</v>
      </c>
    </row>
    <row r="14" spans="1:45" s="25" customFormat="1">
      <c r="A14" s="4"/>
      <c r="B14" s="21">
        <f t="shared" ref="B14:B32" si="2">ROW()-12</f>
        <v>2</v>
      </c>
      <c r="C14" s="6" t="s">
        <v>2828</v>
      </c>
      <c r="D14" s="6" t="s">
        <v>2829</v>
      </c>
      <c r="E14" s="8" t="s">
        <v>127</v>
      </c>
      <c r="F14" s="7" t="s">
        <v>2827</v>
      </c>
      <c r="G14" s="7" t="str">
        <f t="shared" ref="G14:G33" si="3">IF(F14="フラグ","boolean",IF(F14="文字列","text",IF(F14="整数","integer",IF(F14="実数","numeric",""))))</f>
        <v>integer</v>
      </c>
      <c r="H14" s="26"/>
      <c r="I14" s="10" t="s">
        <v>127</v>
      </c>
      <c r="J14" s="11"/>
      <c r="M14" s="4"/>
      <c r="N14" s="78"/>
      <c r="O14" s="78"/>
      <c r="P14" s="78" t="str">
        <f t="shared" ref="P14:P33" si="4">IF(B14&lt;&gt;1,","&amp;D14,D14)</f>
        <v>,file_no</v>
      </c>
      <c r="Q14" s="78" t="str">
        <f t="shared" si="0"/>
        <v>INTEGER</v>
      </c>
      <c r="R14" s="78" t="str">
        <f t="shared" si="1"/>
        <v/>
      </c>
      <c r="S14" s="78" t="str">
        <f t="shared" ref="S14:S33" si="5">IF(I14="○","NOT NULL","")</f>
        <v>NOT NULL</v>
      </c>
      <c r="T14" s="78" t="str">
        <f t="shared" ref="T14:T33"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milscm_2023_010.azn_202310_base_text_mml_mmlps_medication.file_no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milscm_2023_010.azn_202310_base_text_mml_mmlps_medication.body_no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milscm_2023_010.azn_202310_base_text_mml_mmlps_medication.facility_id_mml IS '施設ID（MML）';</v>
      </c>
    </row>
    <row r="17" spans="1:45"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milscm_2023_010.azn_202310_base_text_mml_mmlps_medication.master_id IS '患者ID';</v>
      </c>
    </row>
    <row r="18" spans="1:45"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milscm_2023_010.azn_202310_base_text_mml_mmlps_medication.medication_no IS '投薬No';</v>
      </c>
    </row>
    <row r="19" spans="1:45" s="25" customFormat="1">
      <c r="A19" s="4"/>
      <c r="B19" s="21">
        <f t="shared" si="2"/>
        <v>7</v>
      </c>
      <c r="C19" s="6" t="s">
        <v>2867</v>
      </c>
      <c r="D19" s="6" t="s">
        <v>2868</v>
      </c>
      <c r="E19" s="8"/>
      <c r="F19" s="7" t="s">
        <v>1866</v>
      </c>
      <c r="G19" s="7" t="str">
        <f t="shared" si="3"/>
        <v>text</v>
      </c>
      <c r="H19" s="26"/>
      <c r="I19" s="10"/>
      <c r="J19" s="11"/>
      <c r="M19" s="4"/>
      <c r="N19" s="78"/>
      <c r="O19" s="78"/>
      <c r="P19" s="78" t="str">
        <f t="shared" si="4"/>
        <v>,medicine_name</v>
      </c>
      <c r="Q19" s="78" t="str">
        <f t="shared" si="0"/>
        <v>TEXT</v>
      </c>
      <c r="R19" s="78" t="str">
        <f t="shared" si="1"/>
        <v/>
      </c>
      <c r="S19" s="78" t="str">
        <f t="shared" si="5"/>
        <v/>
      </c>
      <c r="T19" s="78" t="str">
        <f t="shared" si="6"/>
        <v>-- 薬剤名称</v>
      </c>
      <c r="U19" s="4"/>
      <c r="AA19" s="4"/>
      <c r="AB19" s="4"/>
      <c r="AC19" s="4"/>
      <c r="AD19" s="4"/>
      <c r="AE19" s="4"/>
      <c r="AF19" s="4"/>
      <c r="AG19" s="4"/>
      <c r="AH19" s="4"/>
      <c r="AI19" s="4"/>
      <c r="AJ19" s="78" t="str">
        <f>IF(E19="○",IF(COUNTA(E$13:E19)=1,"",",")&amp;D19,"")</f>
        <v/>
      </c>
      <c r="AK19" s="4"/>
      <c r="AL19" s="4"/>
      <c r="AM19" s="4"/>
      <c r="AN19" s="4"/>
      <c r="AO19" s="4"/>
      <c r="AP19" s="4"/>
      <c r="AQ19" s="4"/>
      <c r="AR19" s="4"/>
      <c r="AS19" s="78" t="str">
        <f>"COMMENT ON COLUMN "&amp;エンティティ一覧!$O$2&amp;"."&amp;D$8&amp;"."&amp;D19&amp;" IS '"&amp;C19&amp;"';"</f>
        <v>COMMENT ON COLUMN milscm_2023_010.azn_202310_base_text_mml_mmlps_medication.medicine_name IS '薬剤名称';</v>
      </c>
    </row>
    <row r="20" spans="1:45" s="25" customFormat="1">
      <c r="A20" s="4"/>
      <c r="B20" s="21">
        <f t="shared" si="2"/>
        <v>8</v>
      </c>
      <c r="C20" s="6" t="s">
        <v>2869</v>
      </c>
      <c r="D20" s="6" t="s">
        <v>2870</v>
      </c>
      <c r="E20" s="8"/>
      <c r="F20" s="7" t="s">
        <v>1866</v>
      </c>
      <c r="G20" s="7" t="str">
        <f t="shared" si="3"/>
        <v>text</v>
      </c>
      <c r="H20" s="26"/>
      <c r="I20" s="10"/>
      <c r="J20" s="11"/>
      <c r="M20" s="4"/>
      <c r="N20" s="78"/>
      <c r="O20" s="78"/>
      <c r="P20" s="78" t="str">
        <f t="shared" si="4"/>
        <v>,dose</v>
      </c>
      <c r="Q20" s="78" t="str">
        <f t="shared" si="0"/>
        <v>TEXT</v>
      </c>
      <c r="R20" s="78" t="str">
        <f t="shared" si="1"/>
        <v/>
      </c>
      <c r="S20" s="78" t="str">
        <f t="shared" si="5"/>
        <v/>
      </c>
      <c r="T20" s="78" t="str">
        <f t="shared" si="6"/>
        <v>-- 用量</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milscm_2023_010.azn_202310_base_text_mml_mmlps_medication.dose IS '用量';</v>
      </c>
    </row>
    <row r="21" spans="1:45" s="25" customFormat="1">
      <c r="A21" s="4"/>
      <c r="B21" s="21">
        <f t="shared" si="2"/>
        <v>9</v>
      </c>
      <c r="C21" s="6" t="s">
        <v>2871</v>
      </c>
      <c r="D21" s="6" t="s">
        <v>2872</v>
      </c>
      <c r="E21" s="8"/>
      <c r="F21" s="7" t="s">
        <v>1866</v>
      </c>
      <c r="G21" s="7" t="str">
        <f t="shared" si="3"/>
        <v>text</v>
      </c>
      <c r="H21" s="26"/>
      <c r="I21" s="10"/>
      <c r="J21" s="11"/>
      <c r="M21" s="4"/>
      <c r="N21" s="78"/>
      <c r="O21" s="78"/>
      <c r="P21" s="78" t="str">
        <f t="shared" si="4"/>
        <v>,dose_unit</v>
      </c>
      <c r="Q21" s="78" t="str">
        <f t="shared" si="0"/>
        <v>TEXT</v>
      </c>
      <c r="R21" s="78" t="str">
        <f t="shared" si="1"/>
        <v/>
      </c>
      <c r="S21" s="78" t="str">
        <f t="shared" si="5"/>
        <v/>
      </c>
      <c r="T21" s="78" t="str">
        <f t="shared" si="6"/>
        <v>-- 用量の単位</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milscm_2023_010.azn_202310_base_text_mml_mmlps_medication.dose_unit IS '用量の単位';</v>
      </c>
    </row>
    <row r="22" spans="1:45" s="25" customFormat="1">
      <c r="A22" s="4"/>
      <c r="B22" s="21">
        <f t="shared" si="2"/>
        <v>10</v>
      </c>
      <c r="C22" s="6" t="s">
        <v>2873</v>
      </c>
      <c r="D22" s="6" t="s">
        <v>2874</v>
      </c>
      <c r="E22" s="8"/>
      <c r="F22" s="7" t="s">
        <v>1866</v>
      </c>
      <c r="G22" s="7" t="str">
        <f t="shared" si="3"/>
        <v>text</v>
      </c>
      <c r="H22" s="26"/>
      <c r="I22" s="10"/>
      <c r="J22" s="11"/>
      <c r="M22" s="4"/>
      <c r="N22" s="78"/>
      <c r="O22" s="78"/>
      <c r="P22" s="78" t="str">
        <f t="shared" si="4"/>
        <v>,frequency_per_day</v>
      </c>
      <c r="Q22" s="78" t="str">
        <f t="shared" si="0"/>
        <v>TEXT</v>
      </c>
      <c r="R22" s="78" t="str">
        <f t="shared" si="1"/>
        <v/>
      </c>
      <c r="S22" s="78" t="str">
        <f t="shared" si="5"/>
        <v/>
      </c>
      <c r="T22" s="78" t="str">
        <f t="shared" si="6"/>
        <v>-- 一日の内服回数</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milscm_2023_010.azn_202310_base_text_mml_mmlps_medication.frequency_per_day IS '一日の内服回数';</v>
      </c>
    </row>
    <row r="23" spans="1:45" s="25" customFormat="1">
      <c r="A23" s="4"/>
      <c r="B23" s="21">
        <f t="shared" si="2"/>
        <v>11</v>
      </c>
      <c r="C23" s="6" t="s">
        <v>2875</v>
      </c>
      <c r="D23" s="6" t="s">
        <v>2834</v>
      </c>
      <c r="E23" s="8"/>
      <c r="F23" s="7" t="s">
        <v>1866</v>
      </c>
      <c r="G23" s="7" t="str">
        <f t="shared" si="3"/>
        <v>text</v>
      </c>
      <c r="H23" s="26"/>
      <c r="I23" s="10"/>
      <c r="J23" s="11" t="s">
        <v>2896</v>
      </c>
      <c r="M23" s="4"/>
      <c r="N23" s="78"/>
      <c r="O23" s="78"/>
      <c r="P23" s="78" t="str">
        <f t="shared" si="4"/>
        <v>,start_date</v>
      </c>
      <c r="Q23" s="78" t="str">
        <f t="shared" si="0"/>
        <v>TEXT</v>
      </c>
      <c r="R23" s="78" t="str">
        <f t="shared" si="1"/>
        <v/>
      </c>
      <c r="S23" s="78" t="str">
        <f t="shared" si="5"/>
        <v/>
      </c>
      <c r="T23" s="78" t="str">
        <f t="shared" si="6"/>
        <v>-- 服薬開始日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milscm_2023_010.azn_202310_base_text_mml_mmlps_medication.start_date IS '服薬開始日';</v>
      </c>
    </row>
    <row r="24" spans="1:45" s="25" customFormat="1">
      <c r="A24" s="4"/>
      <c r="B24" s="21">
        <f t="shared" si="2"/>
        <v>12</v>
      </c>
      <c r="C24" s="6" t="s">
        <v>2876</v>
      </c>
      <c r="D24" s="6" t="s">
        <v>2877</v>
      </c>
      <c r="E24" s="8"/>
      <c r="F24" s="7" t="s">
        <v>1866</v>
      </c>
      <c r="G24" s="7" t="str">
        <f t="shared" si="3"/>
        <v>text</v>
      </c>
      <c r="H24" s="26"/>
      <c r="I24" s="10"/>
      <c r="J24" s="11"/>
      <c r="M24" s="4"/>
      <c r="N24" s="78"/>
      <c r="O24" s="78"/>
      <c r="P24" s="78" t="str">
        <f t="shared" si="4"/>
        <v>,duration</v>
      </c>
      <c r="Q24" s="78" t="str">
        <f t="shared" si="0"/>
        <v>TEXT</v>
      </c>
      <c r="R24" s="78" t="str">
        <f t="shared" si="1"/>
        <v/>
      </c>
      <c r="S24" s="78" t="str">
        <f t="shared" si="5"/>
        <v/>
      </c>
      <c r="T24" s="78" t="str">
        <f t="shared" si="6"/>
        <v>-- 服薬期間（日数）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milscm_2023_010.azn_202310_base_text_mml_mmlps_medication.duration IS '服薬期間（日数）';</v>
      </c>
    </row>
    <row r="25" spans="1:45" s="25" customFormat="1">
      <c r="A25" s="4"/>
      <c r="B25" s="21">
        <f t="shared" si="2"/>
        <v>13</v>
      </c>
      <c r="C25" s="6" t="s">
        <v>2878</v>
      </c>
      <c r="D25" s="6" t="s">
        <v>2879</v>
      </c>
      <c r="E25" s="8"/>
      <c r="F25" s="7" t="s">
        <v>1866</v>
      </c>
      <c r="G25" s="7" t="str">
        <f t="shared" si="3"/>
        <v>text</v>
      </c>
      <c r="H25" s="26"/>
      <c r="I25" s="10"/>
      <c r="J25" s="11"/>
      <c r="M25" s="4"/>
      <c r="N25" s="78"/>
      <c r="O25" s="78"/>
      <c r="P25" s="78" t="str">
        <f t="shared" si="4"/>
        <v>,instruction</v>
      </c>
      <c r="Q25" s="78" t="str">
        <f t="shared" si="0"/>
        <v>TEXT</v>
      </c>
      <c r="R25" s="78" t="str">
        <f t="shared" si="1"/>
        <v/>
      </c>
      <c r="S25" s="78" t="str">
        <f t="shared" si="5"/>
        <v/>
      </c>
      <c r="T25" s="78" t="str">
        <f t="shared" si="6"/>
        <v>-- 用法指示</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milscm_2023_010.azn_202310_base_text_mml_mmlps_medication.instruction IS '用法指示';</v>
      </c>
    </row>
    <row r="26" spans="1:45" s="25" customFormat="1">
      <c r="A26" s="4"/>
      <c r="B26" s="21">
        <f t="shared" si="2"/>
        <v>14</v>
      </c>
      <c r="C26" s="6" t="s">
        <v>2880</v>
      </c>
      <c r="D26" s="6" t="s">
        <v>2881</v>
      </c>
      <c r="E26" s="8"/>
      <c r="F26" s="7" t="s">
        <v>1866</v>
      </c>
      <c r="G26" s="7" t="str">
        <f t="shared" si="3"/>
        <v>text</v>
      </c>
      <c r="H26" s="26"/>
      <c r="I26" s="10"/>
      <c r="J26" s="11" t="s">
        <v>2897</v>
      </c>
      <c r="M26" s="4"/>
      <c r="N26" s="78"/>
      <c r="O26" s="78"/>
      <c r="P26" s="78" t="str">
        <f t="shared" si="4"/>
        <v>,prn</v>
      </c>
      <c r="Q26" s="78" t="str">
        <f t="shared" si="0"/>
        <v>TEXT</v>
      </c>
      <c r="R26" s="78" t="str">
        <f t="shared" si="1"/>
        <v/>
      </c>
      <c r="S26" s="78" t="str">
        <f t="shared" si="5"/>
        <v/>
      </c>
      <c r="T26" s="78" t="str">
        <f t="shared" si="6"/>
        <v>-- 頓用指示</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milscm_2023_010.azn_202310_base_text_mml_mmlps_medication.prn IS '頓用指示';</v>
      </c>
    </row>
    <row r="27" spans="1:45" s="25" customFormat="1">
      <c r="A27" s="4"/>
      <c r="B27" s="21">
        <f t="shared" si="2"/>
        <v>15</v>
      </c>
      <c r="C27" s="6" t="s">
        <v>2882</v>
      </c>
      <c r="D27" s="6" t="s">
        <v>2883</v>
      </c>
      <c r="E27" s="8"/>
      <c r="F27" s="7" t="s">
        <v>1866</v>
      </c>
      <c r="G27" s="7" t="str">
        <f t="shared" si="3"/>
        <v>text</v>
      </c>
      <c r="H27" s="26"/>
      <c r="I27" s="10"/>
      <c r="J27" s="11"/>
      <c r="M27" s="4"/>
      <c r="N27" s="78"/>
      <c r="O27" s="78"/>
      <c r="P27" s="78" t="str">
        <f t="shared" si="4"/>
        <v>,repetitions</v>
      </c>
      <c r="Q27" s="78" t="str">
        <f t="shared" si="0"/>
        <v>TEXT</v>
      </c>
      <c r="R27" s="78" t="str">
        <f t="shared" si="1"/>
        <v/>
      </c>
      <c r="S27" s="78" t="str">
        <f t="shared" si="5"/>
        <v/>
      </c>
      <c r="T27" s="78" t="str">
        <f t="shared" si="6"/>
        <v>-- 総投与回数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milscm_2023_010.azn_202310_base_text_mml_mmlps_medication.repetitions IS '総投与回数';</v>
      </c>
    </row>
    <row r="28" spans="1:45" s="25" customFormat="1">
      <c r="A28" s="4"/>
      <c r="B28" s="21">
        <f t="shared" si="2"/>
        <v>16</v>
      </c>
      <c r="C28" s="6" t="s">
        <v>2884</v>
      </c>
      <c r="D28" s="6" t="s">
        <v>2885</v>
      </c>
      <c r="E28" s="8"/>
      <c r="F28" s="7" t="s">
        <v>1866</v>
      </c>
      <c r="G28" s="7" t="str">
        <f t="shared" si="3"/>
        <v>text</v>
      </c>
      <c r="H28" s="26"/>
      <c r="I28" s="10"/>
      <c r="J28" s="11"/>
      <c r="M28" s="4"/>
      <c r="N28" s="78"/>
      <c r="O28" s="78"/>
      <c r="P28" s="78" t="str">
        <f t="shared" si="4"/>
        <v>,route</v>
      </c>
      <c r="Q28" s="78" t="str">
        <f t="shared" si="0"/>
        <v>TEXT</v>
      </c>
      <c r="R28" s="78" t="str">
        <f t="shared" si="1"/>
        <v/>
      </c>
      <c r="S28" s="78" t="str">
        <f t="shared" si="5"/>
        <v/>
      </c>
      <c r="T28" s="78" t="str">
        <f t="shared" si="6"/>
        <v>-- 投与経路</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milscm_2023_010.azn_202310_base_text_mml_mmlps_medication.route IS '投与経路';</v>
      </c>
    </row>
    <row r="29" spans="1:45" s="25" customFormat="1">
      <c r="A29" s="4"/>
      <c r="B29" s="21">
        <f t="shared" si="2"/>
        <v>17</v>
      </c>
      <c r="C29" s="6" t="s">
        <v>2886</v>
      </c>
      <c r="D29" s="6" t="s">
        <v>2887</v>
      </c>
      <c r="E29" s="8"/>
      <c r="F29" s="7" t="s">
        <v>1866</v>
      </c>
      <c r="G29" s="7" t="str">
        <f t="shared" si="3"/>
        <v>text</v>
      </c>
      <c r="H29" s="26"/>
      <c r="I29" s="10"/>
      <c r="J29" s="11"/>
      <c r="M29" s="4"/>
      <c r="N29" s="78"/>
      <c r="O29" s="78"/>
      <c r="P29" s="78" t="str">
        <f t="shared" si="4"/>
        <v>,form</v>
      </c>
      <c r="Q29" s="78" t="str">
        <f t="shared" si="0"/>
        <v>TEXT</v>
      </c>
      <c r="R29" s="78" t="str">
        <f t="shared" si="1"/>
        <v/>
      </c>
      <c r="S29" s="78" t="str">
        <f t="shared" si="5"/>
        <v/>
      </c>
      <c r="T29" s="78" t="str">
        <f t="shared" si="6"/>
        <v>-- 剤形</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milscm_2023_010.azn_202310_base_text_mml_mmlps_medication.form IS '剤形';</v>
      </c>
    </row>
    <row r="30" spans="1:45" s="25" customFormat="1">
      <c r="A30" s="4"/>
      <c r="B30" s="21">
        <f t="shared" si="2"/>
        <v>18</v>
      </c>
      <c r="C30" s="6" t="s">
        <v>2888</v>
      </c>
      <c r="D30" s="6" t="s">
        <v>2889</v>
      </c>
      <c r="E30" s="8"/>
      <c r="F30" s="7" t="s">
        <v>1866</v>
      </c>
      <c r="G30" s="7" t="str">
        <f t="shared" si="3"/>
        <v>text</v>
      </c>
      <c r="H30" s="26"/>
      <c r="I30" s="10"/>
      <c r="J30" s="11"/>
      <c r="M30" s="4"/>
      <c r="N30" s="78"/>
      <c r="O30" s="78"/>
      <c r="P30" s="78" t="str">
        <f t="shared" si="4"/>
        <v>,batch_no</v>
      </c>
      <c r="Q30" s="78" t="str">
        <f t="shared" si="0"/>
        <v>TEXT</v>
      </c>
      <c r="R30" s="78" t="str">
        <f t="shared" si="1"/>
        <v/>
      </c>
      <c r="S30" s="78" t="str">
        <f t="shared" si="5"/>
        <v/>
      </c>
      <c r="T30" s="78" t="str">
        <f t="shared" si="6"/>
        <v>-- 処方番号</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milscm_2023_010.azn_202310_base_text_mml_mmlps_medication.batch_no IS '処方番号';</v>
      </c>
    </row>
    <row r="31" spans="1:45" s="25" customFormat="1" ht="37.5">
      <c r="A31" s="4"/>
      <c r="B31" s="21">
        <f t="shared" si="2"/>
        <v>19</v>
      </c>
      <c r="C31" s="6" t="s">
        <v>2890</v>
      </c>
      <c r="D31" s="6" t="s">
        <v>2891</v>
      </c>
      <c r="E31" s="8"/>
      <c r="F31" s="7" t="s">
        <v>1866</v>
      </c>
      <c r="G31" s="7" t="str">
        <f t="shared" si="3"/>
        <v>text</v>
      </c>
      <c r="H31" s="26"/>
      <c r="I31" s="10"/>
      <c r="J31" s="11" t="s">
        <v>2898</v>
      </c>
      <c r="M31" s="4"/>
      <c r="N31" s="78"/>
      <c r="O31" s="78"/>
      <c r="P31" s="78" t="str">
        <f t="shared" si="4"/>
        <v>,brand_substitution_permitted</v>
      </c>
      <c r="Q31" s="78" t="str">
        <f t="shared" si="0"/>
        <v>TEXT</v>
      </c>
      <c r="R31" s="78" t="str">
        <f t="shared" si="1"/>
        <v/>
      </c>
      <c r="S31" s="78" t="str">
        <f t="shared" si="5"/>
        <v/>
      </c>
      <c r="T31" s="78" t="str">
        <f t="shared" si="6"/>
        <v>-- ジェネリック医薬品への代替可</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milscm_2023_010.azn_202310_base_text_mml_mmlps_medication.brand_substitution_permitted IS 'ジェネリック医薬品への代替可';</v>
      </c>
    </row>
    <row r="32" spans="1:45" s="25" customFormat="1">
      <c r="A32" s="4"/>
      <c r="B32" s="21">
        <f t="shared" si="2"/>
        <v>20</v>
      </c>
      <c r="C32" s="6" t="s">
        <v>2892</v>
      </c>
      <c r="D32" s="6" t="s">
        <v>2893</v>
      </c>
      <c r="E32" s="8"/>
      <c r="F32" s="7" t="s">
        <v>1866</v>
      </c>
      <c r="G32" s="7" t="str">
        <f t="shared" si="3"/>
        <v>text</v>
      </c>
      <c r="H32" s="26"/>
      <c r="I32" s="10"/>
      <c r="J32" s="11" t="s">
        <v>2899</v>
      </c>
      <c r="M32" s="4"/>
      <c r="N32" s="78"/>
      <c r="O32" s="78"/>
      <c r="P32" s="78" t="str">
        <f t="shared" si="4"/>
        <v>,long_term</v>
      </c>
      <c r="Q32" s="78" t="str">
        <f t="shared" si="0"/>
        <v>TEXT</v>
      </c>
      <c r="R32" s="78" t="str">
        <f t="shared" si="1"/>
        <v/>
      </c>
      <c r="S32" s="78" t="str">
        <f t="shared" si="5"/>
        <v/>
      </c>
      <c r="T32" s="78" t="str">
        <f t="shared" si="6"/>
        <v>-- 長期処方可</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milscm_2023_010.azn_202310_base_text_mml_mmlps_medication.long_term IS '長期処方可';</v>
      </c>
    </row>
    <row r="33" spans="1:52" s="25" customFormat="1" ht="19.5" thickBot="1">
      <c r="A33" s="4"/>
      <c r="B33" s="27">
        <f>ROW()-12</f>
        <v>21</v>
      </c>
      <c r="C33" s="57" t="s">
        <v>2894</v>
      </c>
      <c r="D33" s="57" t="s">
        <v>2895</v>
      </c>
      <c r="E33" s="56"/>
      <c r="F33" s="56" t="s">
        <v>1866</v>
      </c>
      <c r="G33" s="56" t="str">
        <f t="shared" si="3"/>
        <v>text</v>
      </c>
      <c r="H33" s="59"/>
      <c r="I33" s="60"/>
      <c r="J33" s="64"/>
      <c r="N33" s="78"/>
      <c r="O33" s="78"/>
      <c r="P33" s="78" t="str">
        <f t="shared" si="4"/>
        <v>,additional_instruction</v>
      </c>
      <c r="Q33" s="78" t="str">
        <f t="shared" si="0"/>
        <v>TEXT</v>
      </c>
      <c r="R33" s="78" t="str">
        <f t="shared" si="1"/>
        <v/>
      </c>
      <c r="S33" s="78" t="str">
        <f t="shared" si="5"/>
        <v/>
      </c>
      <c r="T33" s="78" t="str">
        <f t="shared" si="6"/>
        <v>-- 追加指示，コメント</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milscm_2023_010.azn_202310_base_text_mml_mmlps_medication.additional_instruction IS '追加指示，コメント';</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9F00-000000000000}"/>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AZ2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1957</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ENT_31_10</v>
      </c>
      <c r="E6" s="239"/>
      <c r="F6" s="239"/>
      <c r="G6" s="239"/>
      <c r="H6" s="239"/>
      <c r="I6" s="239"/>
      <c r="J6" s="240"/>
    </row>
    <row r="7" spans="1:45">
      <c r="B7" s="228" t="s">
        <v>115</v>
      </c>
      <c r="C7" s="229"/>
      <c r="D7" s="230" t="s">
        <v>3753</v>
      </c>
      <c r="E7" s="231"/>
      <c r="F7" s="231"/>
      <c r="G7" s="231"/>
      <c r="H7" s="231"/>
      <c r="I7" s="231"/>
      <c r="J7" s="232"/>
    </row>
    <row r="8" spans="1:45">
      <c r="B8" s="228" t="s">
        <v>116</v>
      </c>
      <c r="C8" s="229"/>
      <c r="D8" s="230" t="str">
        <f>エンティティ一覧!AE2&amp;"_"&amp;D5&amp;"_text_mml_mmlps_medicine"</f>
        <v>azn_202310_base_text_mml_mmlps_medicine</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milscm_2023_010.azn_202310_base_text_mml_mmlps_medicine;</v>
      </c>
      <c r="O10" s="78"/>
      <c r="P10" s="78"/>
      <c r="Q10" s="78"/>
      <c r="R10" s="78"/>
      <c r="S10" s="78"/>
      <c r="T10" s="78"/>
      <c r="AJ10" s="78" t="str">
        <f>"ALTER TABLE ONLY "&amp;エンティティ一覧!$O$2&amp;"."&amp;D$8</f>
        <v>ALTER TABLE ONLY milscm_2023_010.azn_202310_base_text_mml_mmlps_medicine</v>
      </c>
      <c r="AS10" s="78" t="str">
        <f>"ALTER TABLE "&amp;エンティティ一覧!$O$2&amp;"."&amp;D$8&amp;" OWNER TO pgmisgrp1;"</f>
        <v>ALTER TABLE milscm_2023_010.azn_202310_base_text_mml_mmlps_medicine OWNER TO pgmisgrp1;</v>
      </c>
    </row>
    <row r="11" spans="1:45" ht="19.5" thickBot="1">
      <c r="B11" s="20" t="s">
        <v>118</v>
      </c>
      <c r="C11" s="19"/>
      <c r="D11" s="5"/>
      <c r="E11" s="5"/>
      <c r="F11" s="5"/>
      <c r="G11" s="5"/>
      <c r="H11" s="5"/>
      <c r="I11" s="5"/>
      <c r="J11" s="18"/>
      <c r="N11" s="78" t="str">
        <f>"CREATE TABLE  "&amp;エンティティ一覧!$O$2&amp;"."&amp;D$8</f>
        <v>CREATE TABLE  milscm_2023_010.azn_202310_base_text_mml_mmlps_medicine</v>
      </c>
      <c r="O11" s="78"/>
      <c r="P11" s="78"/>
      <c r="Q11" s="78"/>
      <c r="R11" s="78"/>
      <c r="S11" s="78"/>
      <c r="T11" s="78"/>
      <c r="AJ11" s="78" t="str">
        <f>"ADD CONSTRAINT "&amp;D$8&amp;"_pkey PRIMARY KEY"</f>
        <v>ADD CONSTRAINT azn_202310_base_text_mml_mmlps_medicine_pkey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milscm_2023_010.azn_202310_base_text_mml_mmlps_medicine IS 'ベース_MML_処方箋モジュール_薬剤';</v>
      </c>
    </row>
    <row r="13" spans="1:45" s="25" customFormat="1">
      <c r="A13" s="4"/>
      <c r="B13" s="21">
        <f>ROW()-12</f>
        <v>1</v>
      </c>
      <c r="C13" s="6" t="s">
        <v>2825</v>
      </c>
      <c r="D13" s="6" t="s">
        <v>2826</v>
      </c>
      <c r="E13" s="8" t="s">
        <v>127</v>
      </c>
      <c r="F13" s="8" t="s">
        <v>2827</v>
      </c>
      <c r="G13" s="7" t="str">
        <f>IF(F13="フラグ","boolean",IF(F13="文字列","text",IF(F13="整数","integer",IF(F13="実数","numeric",""))))</f>
        <v>integer</v>
      </c>
      <c r="H13" s="9"/>
      <c r="I13" s="10" t="s">
        <v>127</v>
      </c>
      <c r="J13" s="11"/>
      <c r="M13" s="4"/>
      <c r="N13" s="78"/>
      <c r="O13" s="78"/>
      <c r="P13" s="78" t="str">
        <f>IF(B13&lt;&gt;1,","&amp;D13,D13)</f>
        <v>zip_no</v>
      </c>
      <c r="Q13" s="78" t="str">
        <f t="shared" ref="Q13:Q21" si="0">UPPER(G13)</f>
        <v>INTEGER</v>
      </c>
      <c r="R13" s="78" t="str">
        <f t="shared" ref="R13:R21" si="1">IF(H13&lt;&gt;"","default "&amp;IF(G13="text","'"&amp;H13&amp;"'",H13),"")</f>
        <v/>
      </c>
      <c r="S13" s="78" t="str">
        <f>IF(I13="○","NOT NULL","")</f>
        <v>NOT NULL</v>
      </c>
      <c r="T13" s="78" t="str">
        <f>"-- "&amp;C13</f>
        <v>-- ZipファイルNo</v>
      </c>
      <c r="U13" s="4"/>
      <c r="AA13" s="4"/>
      <c r="AB13" s="4"/>
      <c r="AC13" s="4"/>
      <c r="AD13" s="4"/>
      <c r="AE13" s="4"/>
      <c r="AF13" s="4"/>
      <c r="AG13" s="4"/>
      <c r="AH13" s="4"/>
      <c r="AI13" s="4"/>
      <c r="AJ13" s="78" t="str">
        <f>IF(E13="○",IF(COUNTA(E$13:E13)=1,"",",")&amp;D13,"")</f>
        <v>zip_no</v>
      </c>
      <c r="AK13" s="4"/>
      <c r="AL13" s="4"/>
      <c r="AM13" s="4"/>
      <c r="AN13" s="4"/>
      <c r="AO13" s="4"/>
      <c r="AP13" s="4"/>
      <c r="AQ13" s="4"/>
      <c r="AR13" s="4"/>
      <c r="AS13" s="78" t="str">
        <f>"COMMENT ON COLUMN "&amp;エンティティ一覧!$O$2&amp;"."&amp;D$8&amp;"."&amp;D13&amp;" IS '"&amp;C13&amp;"';"</f>
        <v>COMMENT ON COLUMN milscm_2023_010.azn_202310_base_text_mml_mmlps_medicine.zip_no IS 'ZipファイルNo';</v>
      </c>
    </row>
    <row r="14" spans="1:45" s="25" customFormat="1">
      <c r="A14" s="4"/>
      <c r="B14" s="21">
        <f t="shared" ref="B14:B20" si="2">ROW()-12</f>
        <v>2</v>
      </c>
      <c r="C14" s="6" t="s">
        <v>2828</v>
      </c>
      <c r="D14" s="6" t="s">
        <v>2829</v>
      </c>
      <c r="E14" s="8" t="s">
        <v>127</v>
      </c>
      <c r="F14" s="7" t="s">
        <v>2827</v>
      </c>
      <c r="G14" s="7" t="str">
        <f t="shared" ref="G14:G21" si="3">IF(F14="フラグ","boolean",IF(F14="文字列","text",IF(F14="整数","integer",IF(F14="実数","numeric",""))))</f>
        <v>integer</v>
      </c>
      <c r="H14" s="26"/>
      <c r="I14" s="10" t="s">
        <v>127</v>
      </c>
      <c r="J14" s="11"/>
      <c r="M14" s="4"/>
      <c r="N14" s="78"/>
      <c r="O14" s="78"/>
      <c r="P14" s="78" t="str">
        <f t="shared" ref="P14:P21" si="4">IF(B14&lt;&gt;1,","&amp;D14,D14)</f>
        <v>,file_no</v>
      </c>
      <c r="Q14" s="78" t="str">
        <f t="shared" si="0"/>
        <v>INTEGER</v>
      </c>
      <c r="R14" s="78" t="str">
        <f t="shared" si="1"/>
        <v/>
      </c>
      <c r="S14" s="78" t="str">
        <f t="shared" ref="S14:S21" si="5">IF(I14="○","NOT NULL","")</f>
        <v>NOT NULL</v>
      </c>
      <c r="T14" s="78" t="str">
        <f t="shared" ref="T14:T21" si="6">"-- "&amp;C14</f>
        <v>-- ファイルNo</v>
      </c>
      <c r="U14" s="4"/>
      <c r="AA14" s="4"/>
      <c r="AB14" s="4"/>
      <c r="AC14" s="4"/>
      <c r="AD14" s="4"/>
      <c r="AE14" s="4"/>
      <c r="AF14" s="4"/>
      <c r="AG14" s="4"/>
      <c r="AH14" s="4"/>
      <c r="AI14" s="4"/>
      <c r="AJ14" s="78" t="str">
        <f>IF(E14="○",IF(COUNTA(E$13:E14)=1,"",",")&amp;D14,"")</f>
        <v>,file_no</v>
      </c>
      <c r="AK14" s="4"/>
      <c r="AL14" s="4"/>
      <c r="AM14" s="4"/>
      <c r="AN14" s="4"/>
      <c r="AO14" s="4"/>
      <c r="AP14" s="4"/>
      <c r="AQ14" s="4"/>
      <c r="AR14" s="4"/>
      <c r="AS14" s="78" t="str">
        <f>"COMMENT ON COLUMN "&amp;エンティティ一覧!$O$2&amp;"."&amp;D$8&amp;"."&amp;D14&amp;" IS '"&amp;C14&amp;"';"</f>
        <v>COMMENT ON COLUMN milscm_2023_010.azn_202310_base_text_mml_mmlps_medicine.file_no IS 'ファイルNo';</v>
      </c>
    </row>
    <row r="15" spans="1:45" s="25" customFormat="1">
      <c r="A15" s="4"/>
      <c r="B15" s="21">
        <f t="shared" si="2"/>
        <v>3</v>
      </c>
      <c r="C15" s="6" t="s">
        <v>2830</v>
      </c>
      <c r="D15" s="6" t="s">
        <v>2831</v>
      </c>
      <c r="E15" s="8" t="s">
        <v>127</v>
      </c>
      <c r="F15" s="7" t="s">
        <v>2827</v>
      </c>
      <c r="G15" s="7" t="str">
        <f t="shared" si="3"/>
        <v>integer</v>
      </c>
      <c r="H15" s="26"/>
      <c r="I15" s="10" t="s">
        <v>127</v>
      </c>
      <c r="J15" s="11"/>
      <c r="M15" s="4"/>
      <c r="N15" s="78"/>
      <c r="O15" s="78"/>
      <c r="P15" s="78" t="str">
        <f t="shared" si="4"/>
        <v>,body_no</v>
      </c>
      <c r="Q15" s="78" t="str">
        <f t="shared" si="0"/>
        <v>INTEGER</v>
      </c>
      <c r="R15" s="78" t="str">
        <f t="shared" si="1"/>
        <v/>
      </c>
      <c r="S15" s="78" t="str">
        <f t="shared" si="5"/>
        <v>NOT NULL</v>
      </c>
      <c r="T15" s="78" t="str">
        <f t="shared" si="6"/>
        <v>-- 本文No</v>
      </c>
      <c r="U15" s="4"/>
      <c r="AA15" s="4"/>
      <c r="AB15" s="4"/>
      <c r="AC15" s="4"/>
      <c r="AD15" s="4"/>
      <c r="AE15" s="4"/>
      <c r="AF15" s="4"/>
      <c r="AG15" s="4"/>
      <c r="AH15" s="4"/>
      <c r="AI15" s="4"/>
      <c r="AJ15" s="78" t="str">
        <f>IF(E15="○",IF(COUNTA(E$13:E15)=1,"",",")&amp;D15,"")</f>
        <v>,body_no</v>
      </c>
      <c r="AK15" s="4"/>
      <c r="AL15" s="4"/>
      <c r="AM15" s="4"/>
      <c r="AN15" s="4"/>
      <c r="AO15" s="4"/>
      <c r="AP15" s="4"/>
      <c r="AQ15" s="4"/>
      <c r="AR15" s="4"/>
      <c r="AS15" s="78" t="str">
        <f>"COMMENT ON COLUMN "&amp;エンティティ一覧!$O$2&amp;"."&amp;D$8&amp;"."&amp;D15&amp;" IS '"&amp;C15&amp;"';"</f>
        <v>COMMENT ON COLUMN milscm_2023_010.azn_202310_base_text_mml_mmlps_medicine.body_no IS '本文No';</v>
      </c>
    </row>
    <row r="16" spans="1:45" s="25" customFormat="1">
      <c r="A16" s="4"/>
      <c r="B16" s="21">
        <f t="shared" si="2"/>
        <v>4</v>
      </c>
      <c r="C16" s="6" t="s">
        <v>2832</v>
      </c>
      <c r="D16" s="6" t="s">
        <v>2448</v>
      </c>
      <c r="E16" s="8"/>
      <c r="F16" s="7" t="s">
        <v>1866</v>
      </c>
      <c r="G16" s="7" t="str">
        <f t="shared" si="3"/>
        <v>text</v>
      </c>
      <c r="H16" s="26"/>
      <c r="I16" s="10" t="s">
        <v>127</v>
      </c>
      <c r="J16" s="11" t="s">
        <v>2838</v>
      </c>
      <c r="M16" s="4"/>
      <c r="N16" s="78"/>
      <c r="O16" s="78"/>
      <c r="P16" s="78" t="str">
        <f t="shared" si="4"/>
        <v>,facility_id_mml</v>
      </c>
      <c r="Q16" s="78" t="str">
        <f t="shared" si="0"/>
        <v>TEXT</v>
      </c>
      <c r="R16" s="78" t="str">
        <f t="shared" si="1"/>
        <v/>
      </c>
      <c r="S16" s="78" t="str">
        <f t="shared" si="5"/>
        <v>NOT NULL</v>
      </c>
      <c r="T16" s="78" t="str">
        <f t="shared" si="6"/>
        <v>-- 施設ID（MML）</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milscm_2023_010.azn_202310_base_text_mml_mmlps_medicine.facility_id_mml IS '施設ID（MML）';</v>
      </c>
    </row>
    <row r="17" spans="1:52" s="25" customFormat="1">
      <c r="A17" s="4"/>
      <c r="B17" s="21">
        <f t="shared" si="2"/>
        <v>5</v>
      </c>
      <c r="C17" s="6" t="s">
        <v>2833</v>
      </c>
      <c r="D17" s="6" t="s">
        <v>1291</v>
      </c>
      <c r="E17" s="8"/>
      <c r="F17" s="7" t="s">
        <v>1866</v>
      </c>
      <c r="G17" s="7" t="str">
        <f t="shared" si="3"/>
        <v>text</v>
      </c>
      <c r="H17" s="26"/>
      <c r="I17" s="10" t="s">
        <v>127</v>
      </c>
      <c r="J17" s="11"/>
      <c r="M17" s="4"/>
      <c r="N17" s="78"/>
      <c r="O17" s="78"/>
      <c r="P17" s="78" t="str">
        <f t="shared" si="4"/>
        <v>,master_id</v>
      </c>
      <c r="Q17" s="78" t="str">
        <f t="shared" si="0"/>
        <v>TEXT</v>
      </c>
      <c r="R17" s="78" t="str">
        <f t="shared" si="1"/>
        <v/>
      </c>
      <c r="S17" s="78" t="str">
        <f t="shared" si="5"/>
        <v>NOT NULL</v>
      </c>
      <c r="T17" s="78" t="str">
        <f t="shared" si="6"/>
        <v>-- 患者ID</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milscm_2023_010.azn_202310_base_text_mml_mmlps_medicine.master_id IS '患者ID';</v>
      </c>
    </row>
    <row r="18" spans="1:52" s="25" customFormat="1">
      <c r="A18" s="4"/>
      <c r="B18" s="21">
        <f t="shared" si="2"/>
        <v>6</v>
      </c>
      <c r="C18" s="6" t="s">
        <v>2865</v>
      </c>
      <c r="D18" s="6" t="s">
        <v>2866</v>
      </c>
      <c r="E18" s="8" t="s">
        <v>127</v>
      </c>
      <c r="F18" s="7" t="s">
        <v>2827</v>
      </c>
      <c r="G18" s="7" t="str">
        <f t="shared" si="3"/>
        <v>integer</v>
      </c>
      <c r="H18" s="26"/>
      <c r="I18" s="10" t="s">
        <v>127</v>
      </c>
      <c r="J18" s="11"/>
      <c r="M18" s="4"/>
      <c r="N18" s="78"/>
      <c r="O18" s="78"/>
      <c r="P18" s="78" t="str">
        <f t="shared" si="4"/>
        <v>,medication_no</v>
      </c>
      <c r="Q18" s="78" t="str">
        <f t="shared" si="0"/>
        <v>INTEGER</v>
      </c>
      <c r="R18" s="78" t="str">
        <f t="shared" si="1"/>
        <v/>
      </c>
      <c r="S18" s="78" t="str">
        <f t="shared" si="5"/>
        <v>NOT NULL</v>
      </c>
      <c r="T18" s="78" t="str">
        <f t="shared" si="6"/>
        <v>-- 投薬No</v>
      </c>
      <c r="U18" s="4"/>
      <c r="AA18" s="4"/>
      <c r="AB18" s="4"/>
      <c r="AC18" s="4"/>
      <c r="AD18" s="4"/>
      <c r="AE18" s="4"/>
      <c r="AF18" s="4"/>
      <c r="AG18" s="4"/>
      <c r="AH18" s="4"/>
      <c r="AI18" s="4"/>
      <c r="AJ18" s="78" t="str">
        <f>IF(E18="○",IF(COUNTA(E$13:E18)=1,"",",")&amp;D18,"")</f>
        <v>,medication_no</v>
      </c>
      <c r="AK18" s="4"/>
      <c r="AL18" s="4"/>
      <c r="AM18" s="4"/>
      <c r="AN18" s="4"/>
      <c r="AO18" s="4"/>
      <c r="AP18" s="4"/>
      <c r="AQ18" s="4"/>
      <c r="AR18" s="4"/>
      <c r="AS18" s="78" t="str">
        <f>"COMMENT ON COLUMN "&amp;エンティティ一覧!$O$2&amp;"."&amp;D$8&amp;"."&amp;D18&amp;" IS '"&amp;C18&amp;"';"</f>
        <v>COMMENT ON COLUMN milscm_2023_010.azn_202310_base_text_mml_mmlps_medicine.medication_no IS '投薬No';</v>
      </c>
    </row>
    <row r="19" spans="1:52" s="25" customFormat="1">
      <c r="A19" s="4"/>
      <c r="B19" s="21">
        <f t="shared" si="2"/>
        <v>7</v>
      </c>
      <c r="C19" s="6" t="s">
        <v>2901</v>
      </c>
      <c r="D19" s="6" t="s">
        <v>2902</v>
      </c>
      <c r="E19" s="8" t="s">
        <v>127</v>
      </c>
      <c r="F19" s="7" t="s">
        <v>2827</v>
      </c>
      <c r="G19" s="7" t="str">
        <f t="shared" si="3"/>
        <v>integer</v>
      </c>
      <c r="H19" s="26"/>
      <c r="I19" s="10" t="s">
        <v>127</v>
      </c>
      <c r="J19" s="11"/>
      <c r="M19" s="4"/>
      <c r="N19" s="78"/>
      <c r="O19" s="78"/>
      <c r="P19" s="78" t="str">
        <f t="shared" si="4"/>
        <v>,medicine_no</v>
      </c>
      <c r="Q19" s="78" t="str">
        <f t="shared" si="0"/>
        <v>INTEGER</v>
      </c>
      <c r="R19" s="78" t="str">
        <f t="shared" si="1"/>
        <v/>
      </c>
      <c r="S19" s="78" t="str">
        <f t="shared" si="5"/>
        <v>NOT NULL</v>
      </c>
      <c r="T19" s="78" t="str">
        <f t="shared" si="6"/>
        <v>-- 薬剤No</v>
      </c>
      <c r="U19" s="4"/>
      <c r="AA19" s="4"/>
      <c r="AB19" s="4"/>
      <c r="AC19" s="4"/>
      <c r="AD19" s="4"/>
      <c r="AE19" s="4"/>
      <c r="AF19" s="4"/>
      <c r="AG19" s="4"/>
      <c r="AH19" s="4"/>
      <c r="AI19" s="4"/>
      <c r="AJ19" s="78" t="str">
        <f>IF(E19="○",IF(COUNTA(E$13:E19)=1,"",",")&amp;D19,"")</f>
        <v>,medicine_no</v>
      </c>
      <c r="AK19" s="4"/>
      <c r="AL19" s="4"/>
      <c r="AM19" s="4"/>
      <c r="AN19" s="4"/>
      <c r="AO19" s="4"/>
      <c r="AP19" s="4"/>
      <c r="AQ19" s="4"/>
      <c r="AR19" s="4"/>
      <c r="AS19" s="78" t="str">
        <f>"COMMENT ON COLUMN "&amp;エンティティ一覧!$O$2&amp;"."&amp;D$8&amp;"."&amp;D19&amp;" IS '"&amp;C19&amp;"';"</f>
        <v>COMMENT ON COLUMN milscm_2023_010.azn_202310_base_text_mml_mmlps_medicine.medicine_no IS '薬剤No';</v>
      </c>
    </row>
    <row r="20" spans="1:52" s="25" customFormat="1">
      <c r="A20" s="4"/>
      <c r="B20" s="21">
        <f t="shared" si="2"/>
        <v>8</v>
      </c>
      <c r="C20" s="6" t="s">
        <v>2903</v>
      </c>
      <c r="D20" s="6" t="s">
        <v>360</v>
      </c>
      <c r="E20" s="8"/>
      <c r="F20" s="7" t="s">
        <v>1866</v>
      </c>
      <c r="G20" s="7" t="str">
        <f t="shared" si="3"/>
        <v>text</v>
      </c>
      <c r="H20" s="26"/>
      <c r="I20" s="10"/>
      <c r="J20" s="11"/>
      <c r="M20" s="4"/>
      <c r="N20" s="78"/>
      <c r="O20" s="78"/>
      <c r="P20" s="78" t="str">
        <f t="shared" si="4"/>
        <v>,code</v>
      </c>
      <c r="Q20" s="78" t="str">
        <f t="shared" si="0"/>
        <v>TEXT</v>
      </c>
      <c r="R20" s="78" t="str">
        <f t="shared" si="1"/>
        <v/>
      </c>
      <c r="S20" s="78" t="str">
        <f t="shared" si="5"/>
        <v/>
      </c>
      <c r="T20" s="78" t="str">
        <f t="shared" si="6"/>
        <v>-- 薬剤コード</v>
      </c>
      <c r="U20" s="4"/>
      <c r="AA20" s="4"/>
      <c r="AB20" s="4"/>
      <c r="AC20" s="4"/>
      <c r="AD20" s="4"/>
      <c r="AE20" s="4"/>
      <c r="AF20" s="4"/>
      <c r="AG20" s="4"/>
      <c r="AH20" s="4"/>
      <c r="AI20" s="4"/>
      <c r="AJ20" s="78" t="str">
        <f>IF(E20="○",IF(COUNTA(E$13:E20)=1,"",",")&amp;D20,"")</f>
        <v/>
      </c>
      <c r="AK20" s="4"/>
      <c r="AL20" s="4"/>
      <c r="AM20" s="4"/>
      <c r="AN20" s="4"/>
      <c r="AO20" s="4"/>
      <c r="AP20" s="4"/>
      <c r="AQ20" s="4"/>
      <c r="AR20" s="4"/>
      <c r="AS20" s="78" t="str">
        <f>"COMMENT ON COLUMN "&amp;エンティティ一覧!$O$2&amp;"."&amp;D$8&amp;"."&amp;D20&amp;" IS '"&amp;C20&amp;"';"</f>
        <v>COMMENT ON COLUMN milscm_2023_010.azn_202310_base_text_mml_mmlps_medicine.code IS '薬剤コード';</v>
      </c>
    </row>
    <row r="21" spans="1:52" s="25" customFormat="1" ht="19.5" thickBot="1">
      <c r="A21" s="4"/>
      <c r="B21" s="27">
        <f>ROW()-12</f>
        <v>9</v>
      </c>
      <c r="C21" s="57" t="s">
        <v>2904</v>
      </c>
      <c r="D21" s="57" t="s">
        <v>2848</v>
      </c>
      <c r="E21" s="56"/>
      <c r="F21" s="56" t="s">
        <v>1866</v>
      </c>
      <c r="G21" s="56" t="str">
        <f t="shared" si="3"/>
        <v>text</v>
      </c>
      <c r="H21" s="59"/>
      <c r="I21" s="60"/>
      <c r="J21" s="64"/>
      <c r="N21" s="78"/>
      <c r="O21" s="78"/>
      <c r="P21" s="78" t="str">
        <f t="shared" si="4"/>
        <v>,system</v>
      </c>
      <c r="Q21" s="78" t="str">
        <f t="shared" si="0"/>
        <v>TEXT</v>
      </c>
      <c r="R21" s="78" t="str">
        <f t="shared" si="1"/>
        <v/>
      </c>
      <c r="S21" s="78" t="str">
        <f t="shared" si="5"/>
        <v/>
      </c>
      <c r="T21" s="78" t="str">
        <f t="shared" si="6"/>
        <v>-- 薬剤コード体系</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milscm_2023_010.azn_202310_base_text_mml_mmlps_medicine.system IS '薬剤コード体系';</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000-000000000000}"/>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ENT_31_11</v>
      </c>
      <c r="E6" s="239"/>
      <c r="F6" s="239"/>
      <c r="G6" s="239"/>
      <c r="H6" s="239"/>
      <c r="I6" s="239"/>
      <c r="J6" s="240"/>
    </row>
    <row r="7" spans="1:45">
      <c r="B7" s="228" t="s">
        <v>115</v>
      </c>
      <c r="C7" s="229"/>
      <c r="D7" s="230" t="s">
        <v>310</v>
      </c>
      <c r="E7" s="231"/>
      <c r="F7" s="231"/>
      <c r="G7" s="231"/>
      <c r="H7" s="231"/>
      <c r="I7" s="231"/>
      <c r="J7" s="232"/>
    </row>
    <row r="8" spans="1:45">
      <c r="B8" s="228" t="s">
        <v>116</v>
      </c>
      <c r="C8" s="229"/>
      <c r="D8" s="230" t="str">
        <f>エンティティ一覧!AE2&amp;"_"&amp;D5&amp;"_merge_dpc_efn"</f>
        <v>azn_202310_base_merge_dpc_efn</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milscm_2023_010.azn_202310_base_merge_dpc_efn;</v>
      </c>
      <c r="O10" s="78"/>
      <c r="P10" s="78"/>
      <c r="Q10" s="78"/>
      <c r="R10" s="78"/>
      <c r="S10" s="78"/>
      <c r="T10" s="78"/>
      <c r="AJ10" s="78" t="str">
        <f>"ALTER TABLE ONLY "&amp;エンティティ一覧!$O$2&amp;"."&amp;D$8</f>
        <v>ALTER TABLE ONLY milscm_2023_010.azn_202310_base_merge_dpc_efn</v>
      </c>
      <c r="AS10" s="78" t="str">
        <f>"ALTER TABLE "&amp;エンティティ一覧!$O$2&amp;"."&amp;D$8&amp;" OWNER TO pgmisgrp1;"</f>
        <v>ALTER TABLE milscm_2023_010.azn_202310_base_merge_dpc_efn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milscm_2023_010.azn_202310_base_merge_dpc_efn</v>
      </c>
      <c r="O11" s="78"/>
      <c r="P11" s="78"/>
      <c r="Q11" s="78"/>
      <c r="R11" s="78"/>
      <c r="S11" s="78"/>
      <c r="T11" s="78"/>
      <c r="AJ11" s="78" t="str">
        <f>"ADD CONSTRAINT "&amp;D$8&amp;"_pkey PRIMARY KEY"</f>
        <v>ADD CONSTRAINT azn_202310_base_merge_dpc_efn_pkey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milscm_2023_010.azn_202310_base_merge_dpc_efn IS 'ベース_DPC調査データ_入院EF統合ファイル';</v>
      </c>
    </row>
    <row r="13" spans="1:45" s="25" customFormat="1">
      <c r="A13" s="4"/>
      <c r="B13" s="21">
        <f>ROW()-12</f>
        <v>1</v>
      </c>
      <c r="C13" s="13" t="s">
        <v>200</v>
      </c>
      <c r="D13" s="13" t="s">
        <v>201</v>
      </c>
      <c r="E13" s="7"/>
      <c r="F13" s="7" t="s">
        <v>202</v>
      </c>
      <c r="G13" s="7" t="str">
        <f>IF(F13="フラグ","boolean",IF(F13="文字列","text",IF(F13="整数","integer",IF(F13="実数","numeric",""))))</f>
        <v>text</v>
      </c>
      <c r="H13" s="22"/>
      <c r="I13" s="23" t="s">
        <v>127</v>
      </c>
      <c r="J13" s="54" t="s">
        <v>257</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milscm_2023_010.azn_202310_base_merge_dpc_efn.torikomi_ym IS '取込年月';</v>
      </c>
    </row>
    <row r="14" spans="1:45" s="25" customFormat="1">
      <c r="A14" s="4"/>
      <c r="B14" s="21">
        <f t="shared" ref="B14:B46" si="2">ROW()-12</f>
        <v>2</v>
      </c>
      <c r="C14" s="6" t="s">
        <v>203</v>
      </c>
      <c r="D14" s="6" t="s">
        <v>204</v>
      </c>
      <c r="E14" s="8"/>
      <c r="F14" s="8" t="s">
        <v>205</v>
      </c>
      <c r="G14" s="7" t="str">
        <f t="shared" ref="G14:G47" si="3">IF(F14="フラグ","boolean",IF(F14="文字列","text",IF(F14="整数","integer",IF(F14="実数","numeric",""))))</f>
        <v>integer</v>
      </c>
      <c r="H14" s="26"/>
      <c r="I14" s="10"/>
      <c r="J14" s="53"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milscm_2023_010.azn_202310_base_merge_dpc_efn.mil_karute_id IS '千年カルテID';</v>
      </c>
    </row>
    <row r="15" spans="1:45" s="25" customFormat="1" ht="37.5">
      <c r="A15" s="4"/>
      <c r="B15" s="21">
        <f t="shared" si="2"/>
        <v>3</v>
      </c>
      <c r="C15" s="6" t="s">
        <v>137</v>
      </c>
      <c r="D15" s="6" t="s">
        <v>128</v>
      </c>
      <c r="E15" s="8" t="s">
        <v>127</v>
      </c>
      <c r="F15" s="8" t="s">
        <v>202</v>
      </c>
      <c r="G15" s="7" t="str">
        <f t="shared" si="3"/>
        <v>text</v>
      </c>
      <c r="H15" s="26"/>
      <c r="I15" s="10" t="s">
        <v>127</v>
      </c>
      <c r="J15" s="53" t="s">
        <v>259</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milscm_2023_010.azn_202310_base_merge_dpc_efn.facility_id IS '施設ID';</v>
      </c>
    </row>
    <row r="16" spans="1:45" s="25" customFormat="1" ht="93.75">
      <c r="B16" s="21">
        <f t="shared" si="2"/>
        <v>4</v>
      </c>
      <c r="C16" s="6" t="s">
        <v>206</v>
      </c>
      <c r="D16" s="6" t="s">
        <v>207</v>
      </c>
      <c r="E16" s="7" t="s">
        <v>127</v>
      </c>
      <c r="F16" s="7" t="s">
        <v>202</v>
      </c>
      <c r="G16" s="7" t="str">
        <f t="shared" si="3"/>
        <v>text</v>
      </c>
      <c r="H16" s="9"/>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milscm_2023_010.azn_202310_base_merge_dpc_efn.shinryo_ym IS '診療年月';</v>
      </c>
    </row>
    <row r="17" spans="1:45" s="25" customFormat="1">
      <c r="B17" s="21">
        <f t="shared" si="2"/>
        <v>5</v>
      </c>
      <c r="C17" s="6" t="s">
        <v>266</v>
      </c>
      <c r="D17" s="6" t="s">
        <v>209</v>
      </c>
      <c r="E17" s="7"/>
      <c r="F17" s="8" t="s">
        <v>202</v>
      </c>
      <c r="G17" s="7" t="str">
        <f t="shared" si="3"/>
        <v>text</v>
      </c>
      <c r="H17" s="9" t="s">
        <v>260</v>
      </c>
      <c r="I17" s="10" t="s">
        <v>127</v>
      </c>
      <c r="J17" s="53" t="s">
        <v>261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milscm_2023_010.azn_202310_base_merge_dpc_efn.data_type IS 'データ種別';</v>
      </c>
    </row>
    <row r="18" spans="1:45" s="25" customFormat="1">
      <c r="B18" s="21">
        <f t="shared" si="2"/>
        <v>6</v>
      </c>
      <c r="C18" s="6" t="s">
        <v>210</v>
      </c>
      <c r="D18" s="6" t="s">
        <v>211</v>
      </c>
      <c r="E18" s="7" t="s">
        <v>127</v>
      </c>
      <c r="F18" s="8" t="s">
        <v>202</v>
      </c>
      <c r="G18" s="7" t="str">
        <f t="shared" si="3"/>
        <v>text</v>
      </c>
      <c r="H18" s="9"/>
      <c r="I18" s="10" t="s">
        <v>127</v>
      </c>
      <c r="J18" s="53"/>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milscm_2023_010.azn_202310_base_merge_dpc_efn.shikibetsu_no IS 'データ識別番号';</v>
      </c>
    </row>
    <row r="19" spans="1:45" s="25" customFormat="1">
      <c r="B19" s="21">
        <f t="shared" si="2"/>
        <v>7</v>
      </c>
      <c r="C19" s="6" t="s">
        <v>267</v>
      </c>
      <c r="D19" s="6" t="s">
        <v>213</v>
      </c>
      <c r="E19" s="7" t="s">
        <v>127</v>
      </c>
      <c r="F19" s="7" t="s">
        <v>202</v>
      </c>
      <c r="G19" s="7" t="str">
        <f t="shared" si="3"/>
        <v>text</v>
      </c>
      <c r="H19" s="9"/>
      <c r="I19" s="10" t="s">
        <v>127</v>
      </c>
      <c r="J19" s="53" t="s">
        <v>144</v>
      </c>
      <c r="N19" s="78"/>
      <c r="O19" s="78"/>
      <c r="P19" s="78" t="str">
        <f t="shared" si="4"/>
        <v>,taiin_ymd</v>
      </c>
      <c r="Q19" s="78" t="str">
        <f t="shared" si="0"/>
        <v>TEXT</v>
      </c>
      <c r="R19" s="78" t="str">
        <f t="shared" si="1"/>
        <v/>
      </c>
      <c r="S19" s="78" t="str">
        <f t="shared" si="5"/>
        <v>NOT NULL</v>
      </c>
      <c r="T19" s="78" t="str">
        <f t="shared" si="6"/>
        <v>-- 退院年月日</v>
      </c>
      <c r="U19" s="4"/>
      <c r="AA19" s="4"/>
      <c r="AB19" s="4"/>
      <c r="AC19" s="4"/>
      <c r="AD19" s="4"/>
      <c r="AE19" s="4"/>
      <c r="AF19" s="4"/>
      <c r="AG19" s="4"/>
      <c r="AH19" s="4"/>
      <c r="AI19" s="4"/>
      <c r="AJ19" s="78" t="str">
        <f>IF(E19="○",IF(COUNTA(E$13:E19)=1,"",",")&amp;D19,"")</f>
        <v>,taiin_ymd</v>
      </c>
      <c r="AK19" s="4"/>
      <c r="AL19" s="4"/>
      <c r="AM19" s="4"/>
      <c r="AN19" s="4"/>
      <c r="AO19" s="4"/>
      <c r="AP19" s="4"/>
      <c r="AQ19" s="4"/>
      <c r="AR19" s="4"/>
      <c r="AS19" s="78" t="str">
        <f>"COMMENT ON COLUMN "&amp;エンティティ一覧!$O$2&amp;"."&amp;D$8&amp;"."&amp;D19&amp;" IS '"&amp;C19&amp;"';"</f>
        <v>COMMENT ON COLUMN milscm_2023_010.azn_202310_base_merge_dpc_efn.taiin_ymd IS '退院年月日';</v>
      </c>
    </row>
    <row r="20" spans="1:45" s="25" customFormat="1" ht="56.25">
      <c r="B20" s="21">
        <f t="shared" si="2"/>
        <v>8</v>
      </c>
      <c r="C20" s="6" t="s">
        <v>268</v>
      </c>
      <c r="D20" s="6" t="s">
        <v>156</v>
      </c>
      <c r="E20" s="7" t="s">
        <v>127</v>
      </c>
      <c r="F20" s="7" t="s">
        <v>202</v>
      </c>
      <c r="G20" s="7" t="str">
        <f t="shared" si="3"/>
        <v>text</v>
      </c>
      <c r="H20" s="9"/>
      <c r="I20" s="10" t="s">
        <v>127</v>
      </c>
      <c r="J20" s="53" t="s">
        <v>296</v>
      </c>
      <c r="N20" s="78"/>
      <c r="O20" s="78"/>
      <c r="P20" s="78" t="str">
        <f t="shared" si="4"/>
        <v>,nyuin_ymd</v>
      </c>
      <c r="Q20" s="78" t="str">
        <f t="shared" si="0"/>
        <v>TEXT</v>
      </c>
      <c r="R20" s="78" t="str">
        <f t="shared" si="1"/>
        <v/>
      </c>
      <c r="S20" s="78" t="str">
        <f t="shared" si="5"/>
        <v>NOT NULL</v>
      </c>
      <c r="T20" s="78" t="str">
        <f t="shared" si="6"/>
        <v>-- 入院年月日</v>
      </c>
      <c r="U20" s="4"/>
      <c r="AA20" s="4"/>
      <c r="AB20" s="4"/>
      <c r="AC20" s="4"/>
      <c r="AD20" s="4"/>
      <c r="AE20" s="4"/>
      <c r="AF20" s="4"/>
      <c r="AG20" s="4"/>
      <c r="AH20" s="4"/>
      <c r="AI20" s="4"/>
      <c r="AJ20" s="78" t="str">
        <f>IF(E20="○",IF(COUNTA(E$13:E20)=1,"",",")&amp;D20,"")</f>
        <v>,nyuin_ymd</v>
      </c>
      <c r="AK20" s="4"/>
      <c r="AL20" s="4"/>
      <c r="AM20" s="4"/>
      <c r="AN20" s="4"/>
      <c r="AO20" s="4"/>
      <c r="AP20" s="4"/>
      <c r="AQ20" s="4"/>
      <c r="AR20" s="4"/>
      <c r="AS20" s="78" t="str">
        <f>"COMMENT ON COLUMN "&amp;エンティティ一覧!$O$2&amp;"."&amp;D$8&amp;"."&amp;D20&amp;" IS '"&amp;C20&amp;"';"</f>
        <v>COMMENT ON COLUMN milscm_2023_010.azn_202310_base_merge_dpc_efn.nyuin_ymd IS '入院年月日';</v>
      </c>
    </row>
    <row r="21" spans="1:45" s="25" customFormat="1">
      <c r="A21" s="4"/>
      <c r="B21" s="21">
        <f t="shared" si="2"/>
        <v>9</v>
      </c>
      <c r="C21" s="6" t="s">
        <v>269</v>
      </c>
      <c r="D21" s="6" t="s">
        <v>215</v>
      </c>
      <c r="E21" s="7" t="s">
        <v>127</v>
      </c>
      <c r="F21" s="7" t="s">
        <v>202</v>
      </c>
      <c r="G21" s="7" t="str">
        <f t="shared" si="3"/>
        <v>text</v>
      </c>
      <c r="H21" s="9"/>
      <c r="I21" s="10" t="s">
        <v>127</v>
      </c>
      <c r="J21" s="53"/>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milscm_2023_010.azn_202310_base_merge_dpc_efn.data_kubun IS 'データ区分';</v>
      </c>
    </row>
    <row r="22" spans="1:45" s="25" customFormat="1">
      <c r="A22" s="4"/>
      <c r="B22" s="21">
        <f t="shared" si="2"/>
        <v>10</v>
      </c>
      <c r="C22" s="14" t="s">
        <v>270</v>
      </c>
      <c r="D22" s="14" t="s">
        <v>217</v>
      </c>
      <c r="E22" s="7" t="s">
        <v>127</v>
      </c>
      <c r="F22" s="7" t="s">
        <v>202</v>
      </c>
      <c r="G22" s="7" t="str">
        <f t="shared" si="3"/>
        <v>text</v>
      </c>
      <c r="H22" s="26"/>
      <c r="I22" s="10" t="s">
        <v>127</v>
      </c>
      <c r="J22" s="53"/>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milscm_2023_010.azn_202310_base_merge_dpc_efn.junjo_no IS '順序番号';</v>
      </c>
    </row>
    <row r="23" spans="1:45" s="25" customFormat="1" ht="37.5">
      <c r="A23" s="4"/>
      <c r="B23" s="21">
        <f t="shared" si="2"/>
        <v>11</v>
      </c>
      <c r="C23" s="14" t="s">
        <v>271</v>
      </c>
      <c r="D23" s="14" t="s">
        <v>153</v>
      </c>
      <c r="E23" s="7" t="s">
        <v>127</v>
      </c>
      <c r="F23" s="7" t="s">
        <v>202</v>
      </c>
      <c r="G23" s="7" t="str">
        <f t="shared" si="3"/>
        <v>text</v>
      </c>
      <c r="H23" s="26"/>
      <c r="I23" s="10" t="s">
        <v>127</v>
      </c>
      <c r="J23" s="53"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milscm_2023_010.azn_202310_base_merge_dpc_efn.koi_meisai_no IS '行為明細番号';</v>
      </c>
    </row>
    <row r="24" spans="1:45" s="25" customFormat="1">
      <c r="A24" s="4"/>
      <c r="B24" s="21">
        <f t="shared" si="2"/>
        <v>12</v>
      </c>
      <c r="C24" s="6" t="s">
        <v>272</v>
      </c>
      <c r="D24" s="6" t="s">
        <v>219</v>
      </c>
      <c r="E24" s="8"/>
      <c r="F24" s="8" t="s">
        <v>202</v>
      </c>
      <c r="G24" s="7" t="str">
        <f t="shared" si="3"/>
        <v>text</v>
      </c>
      <c r="H24" s="9"/>
      <c r="I24" s="10"/>
      <c r="J24" s="53"/>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milscm_2023_010.azn_202310_base_merge_dpc_efn.tensu_master_code IS '病院点数マスタコード';</v>
      </c>
    </row>
    <row r="25" spans="1:45" s="25" customFormat="1" ht="37.5">
      <c r="A25" s="4"/>
      <c r="B25" s="21">
        <f t="shared" si="2"/>
        <v>13</v>
      </c>
      <c r="C25" s="6" t="s">
        <v>145</v>
      </c>
      <c r="D25" s="6" t="s">
        <v>154</v>
      </c>
      <c r="E25" s="8"/>
      <c r="F25" s="8" t="s">
        <v>202</v>
      </c>
      <c r="G25" s="7" t="str">
        <f t="shared" si="3"/>
        <v>text</v>
      </c>
      <c r="H25" s="9"/>
      <c r="I25" s="10"/>
      <c r="J25" s="53"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milscm_2023_010.azn_202310_base_merge_dpc_efn.receipt_densan_code IS 'レセプト電算処理システム用コード';</v>
      </c>
    </row>
    <row r="26" spans="1:45" s="25" customFormat="1">
      <c r="A26" s="4"/>
      <c r="B26" s="21">
        <f t="shared" si="2"/>
        <v>14</v>
      </c>
      <c r="C26" s="6" t="s">
        <v>273</v>
      </c>
      <c r="D26" s="6" t="s">
        <v>221</v>
      </c>
      <c r="E26" s="8"/>
      <c r="F26" s="8" t="s">
        <v>202</v>
      </c>
      <c r="G26" s="7" t="str">
        <f t="shared" si="3"/>
        <v>text</v>
      </c>
      <c r="H26" s="9"/>
      <c r="I26" s="10"/>
      <c r="J26" s="53"/>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milscm_2023_010.azn_202310_base_merge_dpc_efn.kaishaku_no IS '解釈番号';</v>
      </c>
    </row>
    <row r="27" spans="1:45" s="25" customFormat="1">
      <c r="A27" s="4"/>
      <c r="B27" s="21">
        <f t="shared" si="2"/>
        <v>15</v>
      </c>
      <c r="C27" s="6" t="s">
        <v>274</v>
      </c>
      <c r="D27" s="6" t="s">
        <v>146</v>
      </c>
      <c r="E27" s="8"/>
      <c r="F27" s="8" t="s">
        <v>202</v>
      </c>
      <c r="G27" s="7" t="str">
        <f t="shared" si="3"/>
        <v>text</v>
      </c>
      <c r="H27" s="9"/>
      <c r="I27" s="10"/>
      <c r="J27" s="53"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milscm_2023_010.azn_202310_base_merge_dpc_efn.sinryo_meisai_name IS '診療明細名称';</v>
      </c>
    </row>
    <row r="28" spans="1:45" s="25" customFormat="1" ht="37.5">
      <c r="A28" s="4"/>
      <c r="B28" s="21">
        <f t="shared" si="2"/>
        <v>16</v>
      </c>
      <c r="C28" s="6" t="s">
        <v>275</v>
      </c>
      <c r="D28" s="6" t="s">
        <v>129</v>
      </c>
      <c r="E28" s="8"/>
      <c r="F28" s="8" t="s">
        <v>226</v>
      </c>
      <c r="G28" s="7" t="str">
        <f t="shared" si="3"/>
        <v>numeric</v>
      </c>
      <c r="H28" s="9"/>
      <c r="I28" s="10"/>
      <c r="J28" s="53"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milscm_2023_010.azn_202310_base_merge_dpc_efn.shiyoryo IS '使用量';</v>
      </c>
    </row>
    <row r="29" spans="1:45" s="25" customFormat="1">
      <c r="A29" s="4"/>
      <c r="B29" s="21">
        <f t="shared" si="2"/>
        <v>17</v>
      </c>
      <c r="C29" s="6" t="s">
        <v>276</v>
      </c>
      <c r="D29" s="6" t="s">
        <v>277</v>
      </c>
      <c r="E29" s="8"/>
      <c r="F29" s="8" t="s">
        <v>202</v>
      </c>
      <c r="G29" s="7" t="str">
        <f t="shared" si="3"/>
        <v>text</v>
      </c>
      <c r="H29" s="9"/>
      <c r="I29" s="10"/>
      <c r="J29" s="53"/>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milscm_2023_010.azn_202310_base_merge_dpc_efn.unit IS '基準単位';</v>
      </c>
    </row>
    <row r="30" spans="1:45" s="25" customFormat="1">
      <c r="A30" s="4"/>
      <c r="B30" s="21">
        <f t="shared" si="2"/>
        <v>18</v>
      </c>
      <c r="C30" s="6" t="s">
        <v>278</v>
      </c>
      <c r="D30" s="6" t="s">
        <v>130</v>
      </c>
      <c r="E30" s="8"/>
      <c r="F30" s="8" t="s">
        <v>226</v>
      </c>
      <c r="G30" s="7" t="str">
        <f t="shared" si="3"/>
        <v>numeric</v>
      </c>
      <c r="H30" s="9"/>
      <c r="I30" s="10"/>
      <c r="J30" s="53"/>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milscm_2023_010.azn_202310_base_merge_dpc_efn.meisai_tensu IS '明細点数・金額';</v>
      </c>
    </row>
    <row r="31" spans="1:45" s="25" customFormat="1">
      <c r="A31" s="4"/>
      <c r="B31" s="21">
        <f t="shared" si="2"/>
        <v>19</v>
      </c>
      <c r="C31" s="6" t="s">
        <v>279</v>
      </c>
      <c r="D31" s="6" t="s">
        <v>131</v>
      </c>
      <c r="E31" s="8"/>
      <c r="F31" s="8" t="s">
        <v>202</v>
      </c>
      <c r="G31" s="7" t="str">
        <f t="shared" si="3"/>
        <v>text</v>
      </c>
      <c r="H31" s="9"/>
      <c r="I31" s="10"/>
      <c r="J31" s="53"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milscm_2023_010.azn_202310_base_merge_dpc_efn.ten_kubun IS '円・点区分';</v>
      </c>
    </row>
    <row r="32" spans="1:45" s="25" customFormat="1">
      <c r="A32" s="4"/>
      <c r="B32" s="21">
        <f t="shared" si="2"/>
        <v>20</v>
      </c>
      <c r="C32" s="6" t="s">
        <v>280</v>
      </c>
      <c r="D32" s="6" t="s">
        <v>281</v>
      </c>
      <c r="E32" s="8"/>
      <c r="F32" s="8" t="s">
        <v>226</v>
      </c>
      <c r="G32" s="7" t="str">
        <f t="shared" si="3"/>
        <v>numeric</v>
      </c>
      <c r="H32" s="9"/>
      <c r="I32" s="10"/>
      <c r="J32" s="53"/>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milscm_2023_010.azn_202310_base_merge_dpc_efn.dekidaka_tensu IS '出来高実績点数';</v>
      </c>
    </row>
    <row r="33" spans="1:52" s="25" customFormat="1" ht="56.25">
      <c r="A33" s="4"/>
      <c r="B33" s="21">
        <f t="shared" si="2"/>
        <v>21</v>
      </c>
      <c r="C33" s="6" t="s">
        <v>282</v>
      </c>
      <c r="D33" s="6" t="s">
        <v>132</v>
      </c>
      <c r="E33" s="8"/>
      <c r="F33" s="8" t="s">
        <v>202</v>
      </c>
      <c r="G33" s="7" t="str">
        <f t="shared" si="3"/>
        <v>text</v>
      </c>
      <c r="H33" s="9"/>
      <c r="I33" s="10"/>
      <c r="J33" s="53" t="s">
        <v>299</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milscm_2023_010.azn_202310_base_merge_dpc_efn.koi_meisai_kubun IS '行為明細区分情報';</v>
      </c>
    </row>
    <row r="34" spans="1:52" s="25" customFormat="1" ht="56.25">
      <c r="A34" s="4"/>
      <c r="B34" s="21">
        <f t="shared" si="2"/>
        <v>22</v>
      </c>
      <c r="C34" s="6" t="s">
        <v>283</v>
      </c>
      <c r="D34" s="6" t="s">
        <v>225</v>
      </c>
      <c r="E34" s="8"/>
      <c r="F34" s="8" t="s">
        <v>226</v>
      </c>
      <c r="G34" s="7" t="str">
        <f t="shared" si="3"/>
        <v>numeric</v>
      </c>
      <c r="H34" s="9"/>
      <c r="I34" s="10"/>
      <c r="J34" s="53" t="s">
        <v>300</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milscm_2023_010.azn_202310_base_merge_dpc_efn.koi_tensu IS '行為点数';</v>
      </c>
    </row>
    <row r="35" spans="1:52" s="25" customFormat="1">
      <c r="A35" s="4"/>
      <c r="B35" s="21">
        <f t="shared" si="2"/>
        <v>23</v>
      </c>
      <c r="C35" s="6" t="s">
        <v>284</v>
      </c>
      <c r="D35" s="6" t="s">
        <v>228</v>
      </c>
      <c r="E35" s="8"/>
      <c r="F35" s="8" t="s">
        <v>226</v>
      </c>
      <c r="G35" s="7" t="str">
        <f t="shared" si="3"/>
        <v>numeric</v>
      </c>
      <c r="H35" s="9"/>
      <c r="I35" s="10"/>
      <c r="J35" s="53" t="s">
        <v>301</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milscm_2023_010.azn_202310_base_merge_dpc_efn.koi_yakuzai IS '行為薬剤料';</v>
      </c>
    </row>
    <row r="36" spans="1:52" s="25" customFormat="1">
      <c r="A36" s="4"/>
      <c r="B36" s="21">
        <f t="shared" si="2"/>
        <v>24</v>
      </c>
      <c r="C36" s="6" t="s">
        <v>285</v>
      </c>
      <c r="D36" s="6" t="s">
        <v>230</v>
      </c>
      <c r="E36" s="8"/>
      <c r="F36" s="8" t="s">
        <v>226</v>
      </c>
      <c r="G36" s="7" t="str">
        <f t="shared" si="3"/>
        <v>numeric</v>
      </c>
      <c r="H36" s="9"/>
      <c r="I36" s="10"/>
      <c r="J36" s="53" t="s">
        <v>301</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milscm_2023_010.azn_202310_base_merge_dpc_efn.koi_zairyo IS '行為材料料';</v>
      </c>
    </row>
    <row r="37" spans="1:52" s="25" customFormat="1">
      <c r="A37" s="4"/>
      <c r="B37" s="21">
        <f t="shared" si="2"/>
        <v>25</v>
      </c>
      <c r="C37" s="6" t="s">
        <v>286</v>
      </c>
      <c r="D37" s="6" t="s">
        <v>133</v>
      </c>
      <c r="E37" s="8"/>
      <c r="F37" s="8" t="s">
        <v>226</v>
      </c>
      <c r="G37" s="7" t="str">
        <f t="shared" si="3"/>
        <v>numeric</v>
      </c>
      <c r="H37" s="9"/>
      <c r="I37" s="10"/>
      <c r="J37" s="53" t="s">
        <v>302</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milscm_2023_010.azn_202310_base_merge_dpc_efn.koi_times IS '行為回数';</v>
      </c>
    </row>
    <row r="38" spans="1:52" s="25" customFormat="1">
      <c r="A38" s="4"/>
      <c r="B38" s="21">
        <f t="shared" si="2"/>
        <v>26</v>
      </c>
      <c r="C38" s="6" t="s">
        <v>287</v>
      </c>
      <c r="D38" s="6" t="s">
        <v>232</v>
      </c>
      <c r="E38" s="8"/>
      <c r="F38" s="8" t="s">
        <v>202</v>
      </c>
      <c r="G38" s="7" t="str">
        <f t="shared" si="3"/>
        <v>text</v>
      </c>
      <c r="H38" s="9"/>
      <c r="I38" s="10"/>
      <c r="J38" s="53"/>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milscm_2023_010.azn_202310_base_merge_dpc_efn.hoken_no IS '保険者番号';</v>
      </c>
    </row>
    <row r="39" spans="1:52" s="25" customFormat="1">
      <c r="A39" s="4"/>
      <c r="B39" s="21">
        <f t="shared" si="2"/>
        <v>27</v>
      </c>
      <c r="C39" s="6" t="s">
        <v>288</v>
      </c>
      <c r="D39" s="6" t="s">
        <v>234</v>
      </c>
      <c r="E39" s="8"/>
      <c r="F39" s="8" t="s">
        <v>202</v>
      </c>
      <c r="G39" s="7" t="str">
        <f t="shared" si="3"/>
        <v>text</v>
      </c>
      <c r="H39" s="9"/>
      <c r="I39" s="10"/>
      <c r="J39" s="53"/>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milscm_2023_010.azn_202310_base_merge_dpc_efn.receipt_type_code IS 'レセプト種別コード';</v>
      </c>
    </row>
    <row r="40" spans="1:52" s="25" customFormat="1">
      <c r="A40" s="4"/>
      <c r="B40" s="21">
        <f t="shared" si="2"/>
        <v>28</v>
      </c>
      <c r="C40" s="6" t="s">
        <v>289</v>
      </c>
      <c r="D40" s="6" t="s">
        <v>155</v>
      </c>
      <c r="E40" s="8"/>
      <c r="F40" s="8" t="s">
        <v>202</v>
      </c>
      <c r="G40" s="7" t="str">
        <f t="shared" si="3"/>
        <v>text</v>
      </c>
      <c r="H40" s="9"/>
      <c r="I40" s="10" t="s">
        <v>127</v>
      </c>
      <c r="J40" s="53" t="s">
        <v>144</v>
      </c>
      <c r="N40" s="78"/>
      <c r="O40" s="78"/>
      <c r="P40" s="78" t="str">
        <f t="shared" si="7"/>
        <v>,jisshi_ymd</v>
      </c>
      <c r="Q40" s="78" t="str">
        <f t="shared" si="8"/>
        <v>TEXT</v>
      </c>
      <c r="R40" s="78" t="str">
        <f t="shared" si="9"/>
        <v/>
      </c>
      <c r="S40" s="78" t="str">
        <f t="shared" si="10"/>
        <v>NOT NULL</v>
      </c>
      <c r="T40" s="78" t="str">
        <f t="shared" si="11"/>
        <v>-- 実施年月日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milscm_2023_010.azn_202310_base_merge_dpc_efn.jisshi_ymd IS '実施年月日';</v>
      </c>
    </row>
    <row r="41" spans="1:52" s="25" customFormat="1">
      <c r="A41" s="4"/>
      <c r="B41" s="21">
        <f t="shared" si="2"/>
        <v>29</v>
      </c>
      <c r="C41" s="6" t="s">
        <v>290</v>
      </c>
      <c r="D41" s="6" t="s">
        <v>236</v>
      </c>
      <c r="E41" s="8"/>
      <c r="F41" s="8" t="s">
        <v>202</v>
      </c>
      <c r="G41" s="7" t="str">
        <f t="shared" si="3"/>
        <v>text</v>
      </c>
      <c r="H41" s="9"/>
      <c r="I41" s="10"/>
      <c r="J41" s="53"/>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milscm_2023_010.azn_202310_base_merge_dpc_efn.receipt_ka_kubun IS 'レセプト科区分';</v>
      </c>
    </row>
    <row r="42" spans="1:52" s="25" customFormat="1">
      <c r="A42" s="4"/>
      <c r="B42" s="21">
        <f t="shared" si="2"/>
        <v>30</v>
      </c>
      <c r="C42" s="6" t="s">
        <v>134</v>
      </c>
      <c r="D42" s="6" t="s">
        <v>135</v>
      </c>
      <c r="E42" s="8"/>
      <c r="F42" s="8" t="s">
        <v>202</v>
      </c>
      <c r="G42" s="7" t="str">
        <f t="shared" si="3"/>
        <v>text</v>
      </c>
      <c r="H42" s="9"/>
      <c r="I42" s="10"/>
      <c r="J42" s="53"/>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milscm_2023_010.azn_202310_base_merge_dpc_efn.department_kubun IS '診療科区分';</v>
      </c>
    </row>
    <row r="43" spans="1:52" s="25" customFormat="1">
      <c r="A43" s="4"/>
      <c r="B43" s="21">
        <f t="shared" si="2"/>
        <v>31</v>
      </c>
      <c r="C43" s="6" t="s">
        <v>291</v>
      </c>
      <c r="D43" s="6" t="s">
        <v>238</v>
      </c>
      <c r="E43" s="8"/>
      <c r="F43" s="8" t="s">
        <v>202</v>
      </c>
      <c r="G43" s="7" t="str">
        <f t="shared" si="3"/>
        <v>text</v>
      </c>
      <c r="H43" s="9"/>
      <c r="I43" s="10"/>
      <c r="J43" s="53"/>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milscm_2023_010.azn_202310_base_merge_dpc_efn.doctor_code IS '医師コード';</v>
      </c>
    </row>
    <row r="44" spans="1:52" s="25" customFormat="1">
      <c r="A44" s="4"/>
      <c r="B44" s="21">
        <f t="shared" si="2"/>
        <v>32</v>
      </c>
      <c r="C44" s="6" t="s">
        <v>292</v>
      </c>
      <c r="D44" s="6" t="s">
        <v>240</v>
      </c>
      <c r="E44" s="8"/>
      <c r="F44" s="8" t="s">
        <v>202</v>
      </c>
      <c r="G44" s="7" t="str">
        <f t="shared" si="3"/>
        <v>text</v>
      </c>
      <c r="H44" s="9"/>
      <c r="I44" s="10"/>
      <c r="J44" s="53"/>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milscm_2023_010.azn_202310_base_merge_dpc_efn.ward_code IS '病棟コード';</v>
      </c>
    </row>
    <row r="45" spans="1:52" s="25" customFormat="1">
      <c r="A45" s="4"/>
      <c r="B45" s="21">
        <f t="shared" si="2"/>
        <v>33</v>
      </c>
      <c r="C45" s="6" t="s">
        <v>293</v>
      </c>
      <c r="D45" s="6" t="s">
        <v>242</v>
      </c>
      <c r="E45" s="8"/>
      <c r="F45" s="8" t="s">
        <v>202</v>
      </c>
      <c r="G45" s="7" t="str">
        <f t="shared" si="3"/>
        <v>text</v>
      </c>
      <c r="H45" s="9"/>
      <c r="I45" s="10"/>
      <c r="J45" s="53" t="s">
        <v>303</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milscm_2023_010.azn_202310_base_merge_dpc_efn.ward_kubun IS '病棟区分';</v>
      </c>
    </row>
    <row r="46" spans="1:52" s="25" customFormat="1">
      <c r="A46" s="4"/>
      <c r="B46" s="21">
        <f t="shared" si="2"/>
        <v>34</v>
      </c>
      <c r="C46" s="6" t="s">
        <v>294</v>
      </c>
      <c r="D46" s="6" t="s">
        <v>244</v>
      </c>
      <c r="E46" s="8"/>
      <c r="F46" s="8" t="s">
        <v>202</v>
      </c>
      <c r="G46" s="7" t="str">
        <f t="shared" si="3"/>
        <v>text</v>
      </c>
      <c r="H46" s="9"/>
      <c r="I46" s="10"/>
      <c r="J46" s="53" t="s">
        <v>304</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milscm_2023_010.azn_202310_base_merge_dpc_efn.nyugai_kubun IS '入外区分';</v>
      </c>
      <c r="AT46" s="4"/>
      <c r="AU46" s="4"/>
    </row>
    <row r="47" spans="1:52" s="25" customFormat="1" ht="19.5" thickBot="1">
      <c r="A47" s="4"/>
      <c r="B47" s="27">
        <f>ROW()-12</f>
        <v>35</v>
      </c>
      <c r="C47" s="28" t="s">
        <v>295</v>
      </c>
      <c r="D47" s="28" t="s">
        <v>246</v>
      </c>
      <c r="E47" s="29"/>
      <c r="F47" s="29" t="s">
        <v>202</v>
      </c>
      <c r="G47" s="56" t="str">
        <f t="shared" si="3"/>
        <v>text</v>
      </c>
      <c r="H47" s="30"/>
      <c r="I47" s="31"/>
      <c r="J47" s="55"/>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milscm_2023_010.azn_202310_base_merge_dpc_efn.facility_type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100-000000000000}"/>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AZ52"/>
  <sheetViews>
    <sheetView showGridLines="0" zoomScale="85" zoomScaleNormal="85" workbookViewId="0">
      <selection activeCell="D9" sqref="D9:J9"/>
    </sheetView>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ENT_31_12</v>
      </c>
      <c r="E6" s="239"/>
      <c r="F6" s="239"/>
      <c r="G6" s="239"/>
      <c r="H6" s="239"/>
      <c r="I6" s="239"/>
      <c r="J6" s="240"/>
    </row>
    <row r="7" spans="1:45">
      <c r="B7" s="228" t="s">
        <v>115</v>
      </c>
      <c r="C7" s="229"/>
      <c r="D7" s="230" t="s">
        <v>311</v>
      </c>
      <c r="E7" s="231"/>
      <c r="F7" s="231"/>
      <c r="G7" s="231"/>
      <c r="H7" s="231"/>
      <c r="I7" s="231"/>
      <c r="J7" s="232"/>
    </row>
    <row r="8" spans="1:45">
      <c r="B8" s="228" t="s">
        <v>116</v>
      </c>
      <c r="C8" s="229"/>
      <c r="D8" s="230" t="str">
        <f>エンティティ一覧!AE2&amp;"_"&amp;D5&amp;"_merge_dpc_efg"</f>
        <v>azn_202310_base_merge_dpc_efg</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milscm_2023_010.azn_202310_base_merge_dpc_efg;</v>
      </c>
      <c r="O10" s="78"/>
      <c r="P10" s="78"/>
      <c r="Q10" s="78"/>
      <c r="R10" s="78"/>
      <c r="S10" s="78"/>
      <c r="T10" s="78"/>
      <c r="AJ10" s="78" t="str">
        <f>"ALTER TABLE ONLY "&amp;エンティティ一覧!$O$2&amp;"."&amp;D$8</f>
        <v>ALTER TABLE ONLY milscm_2023_010.azn_202310_base_merge_dpc_efg</v>
      </c>
      <c r="AS10" s="78" t="str">
        <f>"ALTER TABLE "&amp;エンティティ一覧!$O$2&amp;"."&amp;D$8&amp;" OWNER TO pgmisgrp1;"</f>
        <v>ALTER TABLE milscm_2023_010.azn_202310_base_merge_dpc_efg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milscm_2023_010.azn_202310_base_merge_dpc_efg</v>
      </c>
      <c r="O11" s="78"/>
      <c r="P11" s="78"/>
      <c r="Q11" s="78"/>
      <c r="R11" s="78"/>
      <c r="S11" s="78"/>
      <c r="T11" s="78"/>
      <c r="AJ11" s="78" t="str">
        <f>"ADD CONSTRAINT "&amp;D$8&amp;"_pkey PRIMARY KEY"</f>
        <v>ADD CONSTRAINT azn_202310_base_merge_dpc_efg_pkey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milscm_2023_010.azn_202310_base_merge_dpc_efg IS 'ベース_DPC調査データ_外来EF統合ファイル';</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354</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milscm_2023_010.azn_202310_base_merge_dpc_efg.torikomi_ym IS '取込年月';</v>
      </c>
    </row>
    <row r="14" spans="1:45" s="25" customFormat="1">
      <c r="A14" s="4"/>
      <c r="B14" s="21">
        <f t="shared" ref="B14:B46" si="2">ROW()-12</f>
        <v>2</v>
      </c>
      <c r="C14" s="6" t="s">
        <v>203</v>
      </c>
      <c r="D14" s="6" t="s">
        <v>204</v>
      </c>
      <c r="E14" s="8"/>
      <c r="F14" s="7" t="s">
        <v>205</v>
      </c>
      <c r="G14" s="7" t="str">
        <f t="shared" ref="G14:G47"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milscm_2023_010.azn_202310_base_merge_dpc_efg.mil_karute_id IS '千年カルテID';</v>
      </c>
    </row>
    <row r="15" spans="1:45" s="25" customFormat="1" ht="37.5">
      <c r="A15" s="4"/>
      <c r="B15" s="21">
        <f t="shared" si="2"/>
        <v>3</v>
      </c>
      <c r="C15" s="13" t="s">
        <v>137</v>
      </c>
      <c r="D15" s="13" t="s">
        <v>128</v>
      </c>
      <c r="E15" s="7" t="s">
        <v>127</v>
      </c>
      <c r="F15" s="7" t="s">
        <v>318</v>
      </c>
      <c r="G15" s="7" t="str">
        <f t="shared" si="3"/>
        <v>text</v>
      </c>
      <c r="H15" s="58"/>
      <c r="I15" s="23" t="s">
        <v>127</v>
      </c>
      <c r="J15" s="24" t="s">
        <v>355</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milscm_2023_010.azn_202310_base_merge_dpc_efg.facility_id IS '施設ID';</v>
      </c>
    </row>
    <row r="16" spans="1:45" s="25" customFormat="1" ht="93.75">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milscm_2023_010.azn_202310_base_merge_dpc_efg.shinryo_ym IS '診療年月';</v>
      </c>
    </row>
    <row r="17" spans="1:45" s="25" customFormat="1">
      <c r="B17" s="21">
        <f t="shared" si="2"/>
        <v>5</v>
      </c>
      <c r="C17" s="13" t="s">
        <v>320</v>
      </c>
      <c r="D17" s="13" t="s">
        <v>209</v>
      </c>
      <c r="E17" s="7"/>
      <c r="F17" s="7" t="s">
        <v>318</v>
      </c>
      <c r="G17" s="7" t="str">
        <f t="shared" si="3"/>
        <v>text</v>
      </c>
      <c r="H17" s="58" t="s">
        <v>260</v>
      </c>
      <c r="I17" s="23" t="s">
        <v>127</v>
      </c>
      <c r="J17" s="24" t="s">
        <v>356</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milscm_2023_010.azn_202310_base_merge_dpc_efg.data_type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milscm_2023_010.azn_202310_base_merge_dpc_efg.shikibetsu_no IS 'データ識別番号';</v>
      </c>
    </row>
    <row r="19" spans="1:45" s="25" customFormat="1">
      <c r="B19" s="21">
        <f t="shared" si="2"/>
        <v>7</v>
      </c>
      <c r="C19" s="13" t="s">
        <v>322</v>
      </c>
      <c r="D19" s="13" t="s">
        <v>323</v>
      </c>
      <c r="E19" s="7" t="s">
        <v>127</v>
      </c>
      <c r="F19" s="7" t="s">
        <v>318</v>
      </c>
      <c r="G19" s="7" t="str">
        <f t="shared" si="3"/>
        <v>text</v>
      </c>
      <c r="H19" s="58"/>
      <c r="I19" s="23" t="s">
        <v>127</v>
      </c>
      <c r="J19" s="24" t="s">
        <v>144</v>
      </c>
      <c r="N19" s="78"/>
      <c r="O19" s="78"/>
      <c r="P19" s="78" t="str">
        <f t="shared" si="4"/>
        <v>,birthday</v>
      </c>
      <c r="Q19" s="78" t="str">
        <f t="shared" si="0"/>
        <v>TEXT</v>
      </c>
      <c r="R19" s="78" t="str">
        <f t="shared" si="1"/>
        <v/>
      </c>
      <c r="S19" s="78" t="str">
        <f t="shared" si="5"/>
        <v>NOT NULL</v>
      </c>
      <c r="T19" s="78" t="str">
        <f t="shared" si="6"/>
        <v>-- 生年月日</v>
      </c>
      <c r="U19" s="4"/>
      <c r="AA19" s="4"/>
      <c r="AB19" s="4"/>
      <c r="AC19" s="4"/>
      <c r="AD19" s="4"/>
      <c r="AE19" s="4"/>
      <c r="AF19" s="4"/>
      <c r="AG19" s="4"/>
      <c r="AH19" s="4"/>
      <c r="AI19" s="4"/>
      <c r="AJ19" s="78" t="str">
        <f>IF(E19="○",IF(COUNTA(E$13:E19)=1,"",",")&amp;D19,"")</f>
        <v>,birthday</v>
      </c>
      <c r="AK19" s="4"/>
      <c r="AL19" s="4"/>
      <c r="AM19" s="4"/>
      <c r="AN19" s="4"/>
      <c r="AO19" s="4"/>
      <c r="AP19" s="4"/>
      <c r="AQ19" s="4"/>
      <c r="AR19" s="4"/>
      <c r="AS19" s="78" t="str">
        <f>"COMMENT ON COLUMN "&amp;エンティティ一覧!$O$2&amp;"."&amp;D$8&amp;"."&amp;D19&amp;" IS '"&amp;C19&amp;"';"</f>
        <v>COMMENT ON COLUMN milscm_2023_010.azn_202310_base_merge_dpc_efg.birthday IS '生年月日';</v>
      </c>
    </row>
    <row r="20" spans="1:45" s="25" customFormat="1" ht="56.25">
      <c r="B20" s="21">
        <f t="shared" si="2"/>
        <v>8</v>
      </c>
      <c r="C20" s="6" t="s">
        <v>324</v>
      </c>
      <c r="D20" s="6" t="s">
        <v>325</v>
      </c>
      <c r="E20" s="8" t="s">
        <v>127</v>
      </c>
      <c r="F20" s="7" t="s">
        <v>318</v>
      </c>
      <c r="G20" s="7" t="str">
        <f t="shared" si="3"/>
        <v>text</v>
      </c>
      <c r="H20" s="26"/>
      <c r="I20" s="10" t="s">
        <v>127</v>
      </c>
      <c r="J20" s="11" t="s">
        <v>296</v>
      </c>
      <c r="N20" s="78"/>
      <c r="O20" s="78"/>
      <c r="P20" s="78" t="str">
        <f t="shared" si="4"/>
        <v>,gairai_ymd</v>
      </c>
      <c r="Q20" s="78" t="str">
        <f t="shared" si="0"/>
        <v>TEXT</v>
      </c>
      <c r="R20" s="78" t="str">
        <f t="shared" si="1"/>
        <v/>
      </c>
      <c r="S20" s="78" t="str">
        <f t="shared" si="5"/>
        <v>NOT NULL</v>
      </c>
      <c r="T20" s="78" t="str">
        <f t="shared" si="6"/>
        <v>-- 外来受診年月日</v>
      </c>
      <c r="U20" s="4"/>
      <c r="AA20" s="4"/>
      <c r="AB20" s="4"/>
      <c r="AC20" s="4"/>
      <c r="AD20" s="4"/>
      <c r="AE20" s="4"/>
      <c r="AF20" s="4"/>
      <c r="AG20" s="4"/>
      <c r="AH20" s="4"/>
      <c r="AI20" s="4"/>
      <c r="AJ20" s="78" t="str">
        <f>IF(E20="○",IF(COUNTA(E$13:E20)=1,"",",")&amp;D20,"")</f>
        <v>,gairai_ymd</v>
      </c>
      <c r="AK20" s="4"/>
      <c r="AL20" s="4"/>
      <c r="AM20" s="4"/>
      <c r="AN20" s="4"/>
      <c r="AO20" s="4"/>
      <c r="AP20" s="4"/>
      <c r="AQ20" s="4"/>
      <c r="AR20" s="4"/>
      <c r="AS20" s="78" t="str">
        <f>"COMMENT ON COLUMN "&amp;エンティティ一覧!$O$2&amp;"."&amp;D$8&amp;"."&amp;D20&amp;" IS '"&amp;C20&amp;"';"</f>
        <v>COMMENT ON COLUMN milscm_2023_010.azn_202310_base_merge_dpc_efg.gairai_ymd IS '外来受診年月日';</v>
      </c>
    </row>
    <row r="21" spans="1:45" s="25" customFormat="1">
      <c r="A21" s="4"/>
      <c r="B21" s="21">
        <f t="shared" si="2"/>
        <v>9</v>
      </c>
      <c r="C21" s="13" t="s">
        <v>326</v>
      </c>
      <c r="D21" s="13" t="s">
        <v>215</v>
      </c>
      <c r="E21" s="7" t="s">
        <v>127</v>
      </c>
      <c r="F21" s="7" t="s">
        <v>318</v>
      </c>
      <c r="G21" s="7" t="str">
        <f t="shared" si="3"/>
        <v>text</v>
      </c>
      <c r="H21" s="58"/>
      <c r="I21" s="23" t="s">
        <v>127</v>
      </c>
      <c r="J21" s="24"/>
      <c r="N21" s="78"/>
      <c r="O21" s="78"/>
      <c r="P21" s="78" t="str">
        <f t="shared" si="4"/>
        <v>,data_kubun</v>
      </c>
      <c r="Q21" s="78" t="str">
        <f t="shared" si="0"/>
        <v>TEXT</v>
      </c>
      <c r="R21" s="78" t="str">
        <f t="shared" si="1"/>
        <v/>
      </c>
      <c r="S21" s="78" t="str">
        <f t="shared" si="5"/>
        <v>NOT NULL</v>
      </c>
      <c r="T21" s="78" t="str">
        <f t="shared" si="6"/>
        <v>-- データ区分</v>
      </c>
      <c r="U21" s="4"/>
      <c r="AA21" s="4"/>
      <c r="AB21" s="4"/>
      <c r="AC21" s="4"/>
      <c r="AD21" s="4"/>
      <c r="AE21" s="4"/>
      <c r="AF21" s="4"/>
      <c r="AG21" s="4"/>
      <c r="AH21" s="4"/>
      <c r="AI21" s="4"/>
      <c r="AJ21" s="78" t="str">
        <f>IF(E21="○",IF(COUNTA(E$13:E21)=1,"",",")&amp;D21,"")</f>
        <v>,data_kubun</v>
      </c>
      <c r="AK21" s="4"/>
      <c r="AL21" s="4"/>
      <c r="AM21" s="4"/>
      <c r="AN21" s="4"/>
      <c r="AO21" s="4"/>
      <c r="AP21" s="4"/>
      <c r="AQ21" s="4"/>
      <c r="AR21" s="4"/>
      <c r="AS21" s="78" t="str">
        <f>"COMMENT ON COLUMN "&amp;エンティティ一覧!$O$2&amp;"."&amp;D$8&amp;"."&amp;D21&amp;" IS '"&amp;C21&amp;"';"</f>
        <v>COMMENT ON COLUMN milscm_2023_010.azn_202310_base_merge_dpc_efg.data_kubun IS 'データ区分';</v>
      </c>
    </row>
    <row r="22" spans="1:45" s="25" customFormat="1">
      <c r="A22" s="4"/>
      <c r="B22" s="21">
        <f t="shared" si="2"/>
        <v>10</v>
      </c>
      <c r="C22" s="6" t="s">
        <v>327</v>
      </c>
      <c r="D22" s="6" t="s">
        <v>217</v>
      </c>
      <c r="E22" s="8" t="s">
        <v>127</v>
      </c>
      <c r="F22" s="7" t="s">
        <v>318</v>
      </c>
      <c r="G22" s="7" t="str">
        <f t="shared" si="3"/>
        <v>text</v>
      </c>
      <c r="H22" s="26"/>
      <c r="I22" s="10" t="s">
        <v>127</v>
      </c>
      <c r="J22" s="11"/>
      <c r="N22" s="78"/>
      <c r="O22" s="78"/>
      <c r="P22" s="78" t="str">
        <f t="shared" si="4"/>
        <v>,junjo_no</v>
      </c>
      <c r="Q22" s="78" t="str">
        <f t="shared" si="0"/>
        <v>TEXT</v>
      </c>
      <c r="R22" s="78" t="str">
        <f t="shared" si="1"/>
        <v/>
      </c>
      <c r="S22" s="78" t="str">
        <f t="shared" si="5"/>
        <v>NOT NULL</v>
      </c>
      <c r="T22" s="78" t="str">
        <f t="shared" si="6"/>
        <v>-- 順序番号</v>
      </c>
      <c r="U22" s="4"/>
      <c r="AA22" s="4"/>
      <c r="AB22" s="4"/>
      <c r="AC22" s="4"/>
      <c r="AD22" s="4"/>
      <c r="AE22" s="4"/>
      <c r="AF22" s="4"/>
      <c r="AG22" s="4"/>
      <c r="AH22" s="4"/>
      <c r="AI22" s="4"/>
      <c r="AJ22" s="78" t="str">
        <f>IF(E22="○",IF(COUNTA(E$13:E22)=1,"",",")&amp;D22,"")</f>
        <v>,junjo_no</v>
      </c>
      <c r="AK22" s="4"/>
      <c r="AL22" s="4"/>
      <c r="AM22" s="4"/>
      <c r="AN22" s="4"/>
      <c r="AO22" s="4"/>
      <c r="AP22" s="4"/>
      <c r="AQ22" s="4"/>
      <c r="AR22" s="4"/>
      <c r="AS22" s="78" t="str">
        <f>"COMMENT ON COLUMN "&amp;エンティティ一覧!$O$2&amp;"."&amp;D$8&amp;"."&amp;D22&amp;" IS '"&amp;C22&amp;"';"</f>
        <v>COMMENT ON COLUMN milscm_2023_010.azn_202310_base_merge_dpc_efg.junjo_no IS '順序番号';</v>
      </c>
    </row>
    <row r="23" spans="1:45" s="25" customFormat="1" ht="37.5">
      <c r="A23" s="4"/>
      <c r="B23" s="21">
        <f t="shared" si="2"/>
        <v>11</v>
      </c>
      <c r="C23" s="13" t="s">
        <v>328</v>
      </c>
      <c r="D23" s="13" t="s">
        <v>153</v>
      </c>
      <c r="E23" s="7" t="s">
        <v>127</v>
      </c>
      <c r="F23" s="7" t="s">
        <v>318</v>
      </c>
      <c r="G23" s="7" t="str">
        <f t="shared" si="3"/>
        <v>text</v>
      </c>
      <c r="H23" s="58"/>
      <c r="I23" s="23" t="s">
        <v>127</v>
      </c>
      <c r="J23" s="24" t="s">
        <v>297</v>
      </c>
      <c r="N23" s="78"/>
      <c r="O23" s="78"/>
      <c r="P23" s="78" t="str">
        <f t="shared" si="4"/>
        <v>,koi_meisai_no</v>
      </c>
      <c r="Q23" s="78" t="str">
        <f t="shared" si="0"/>
        <v>TEXT</v>
      </c>
      <c r="R23" s="78" t="str">
        <f t="shared" si="1"/>
        <v/>
      </c>
      <c r="S23" s="78" t="str">
        <f t="shared" si="5"/>
        <v>NOT NULL</v>
      </c>
      <c r="T23" s="78" t="str">
        <f t="shared" si="6"/>
        <v>-- 行為明細番号</v>
      </c>
      <c r="U23" s="4"/>
      <c r="AA23" s="4"/>
      <c r="AB23" s="4"/>
      <c r="AC23" s="4"/>
      <c r="AD23" s="4"/>
      <c r="AE23" s="4"/>
      <c r="AF23" s="4"/>
      <c r="AG23" s="4"/>
      <c r="AH23" s="4"/>
      <c r="AI23" s="4"/>
      <c r="AJ23" s="78" t="str">
        <f>IF(E23="○",IF(COUNTA(E$13:E23)=1,"",",")&amp;D23,"")</f>
        <v>,koi_meisai_no</v>
      </c>
      <c r="AK23" s="4"/>
      <c r="AL23" s="4"/>
      <c r="AM23" s="4"/>
      <c r="AN23" s="4"/>
      <c r="AO23" s="4"/>
      <c r="AP23" s="4"/>
      <c r="AQ23" s="4"/>
      <c r="AR23" s="4"/>
      <c r="AS23" s="78" t="str">
        <f>"COMMENT ON COLUMN "&amp;エンティティ一覧!$O$2&amp;"."&amp;D$8&amp;"."&amp;D23&amp;" IS '"&amp;C23&amp;"';"</f>
        <v>COMMENT ON COLUMN milscm_2023_010.azn_202310_base_merge_dpc_efg.koi_meisai_no IS '行為明細番号';</v>
      </c>
    </row>
    <row r="24" spans="1:45" s="25" customFormat="1">
      <c r="A24" s="4"/>
      <c r="B24" s="21">
        <f t="shared" si="2"/>
        <v>12</v>
      </c>
      <c r="C24" s="6" t="s">
        <v>329</v>
      </c>
      <c r="D24" s="6" t="s">
        <v>219</v>
      </c>
      <c r="E24" s="8"/>
      <c r="F24" s="7" t="s">
        <v>318</v>
      </c>
      <c r="G24" s="7" t="str">
        <f t="shared" si="3"/>
        <v>text</v>
      </c>
      <c r="H24" s="26"/>
      <c r="I24" s="10"/>
      <c r="J24" s="11"/>
      <c r="N24" s="78"/>
      <c r="O24" s="78"/>
      <c r="P24" s="78" t="str">
        <f t="shared" si="4"/>
        <v>,tensu_master_code</v>
      </c>
      <c r="Q24" s="78" t="str">
        <f t="shared" si="0"/>
        <v>TEXT</v>
      </c>
      <c r="R24" s="78" t="str">
        <f t="shared" si="1"/>
        <v/>
      </c>
      <c r="S24" s="78" t="str">
        <f t="shared" si="5"/>
        <v/>
      </c>
      <c r="T24" s="78" t="str">
        <f t="shared" si="6"/>
        <v>-- 病院点数マスタコード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milscm_2023_010.azn_202310_base_merge_dpc_efg.tensu_master_code IS '病院点数マスタコード';</v>
      </c>
    </row>
    <row r="25" spans="1:45" s="25" customFormat="1" ht="37.5">
      <c r="A25" s="4"/>
      <c r="B25" s="21">
        <f t="shared" si="2"/>
        <v>13</v>
      </c>
      <c r="C25" s="13" t="s">
        <v>145</v>
      </c>
      <c r="D25" s="13" t="s">
        <v>154</v>
      </c>
      <c r="E25" s="7"/>
      <c r="F25" s="7" t="s">
        <v>318</v>
      </c>
      <c r="G25" s="7" t="str">
        <f t="shared" si="3"/>
        <v>text</v>
      </c>
      <c r="H25" s="58"/>
      <c r="I25" s="23"/>
      <c r="J25" s="24" t="s">
        <v>298</v>
      </c>
      <c r="N25" s="78"/>
      <c r="O25" s="78"/>
      <c r="P25" s="78" t="str">
        <f t="shared" si="4"/>
        <v>,receipt_densan_code</v>
      </c>
      <c r="Q25" s="78" t="str">
        <f t="shared" si="0"/>
        <v>TEXT</v>
      </c>
      <c r="R25" s="78" t="str">
        <f t="shared" si="1"/>
        <v/>
      </c>
      <c r="S25" s="78" t="str">
        <f t="shared" si="5"/>
        <v/>
      </c>
      <c r="T25" s="78" t="str">
        <f t="shared" si="6"/>
        <v>-- レセプト電算処理システム用コード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milscm_2023_010.azn_202310_base_merge_dpc_efg.receipt_densan_code IS 'レセプト電算処理システム用コード';</v>
      </c>
    </row>
    <row r="26" spans="1:45" s="25" customFormat="1">
      <c r="A26" s="4"/>
      <c r="B26" s="21">
        <f t="shared" si="2"/>
        <v>14</v>
      </c>
      <c r="C26" s="6" t="s">
        <v>330</v>
      </c>
      <c r="D26" s="6" t="s">
        <v>221</v>
      </c>
      <c r="E26" s="8"/>
      <c r="F26" s="7" t="s">
        <v>318</v>
      </c>
      <c r="G26" s="7" t="str">
        <f t="shared" si="3"/>
        <v>text</v>
      </c>
      <c r="H26" s="26"/>
      <c r="I26" s="10"/>
      <c r="J26" s="11"/>
      <c r="N26" s="78"/>
      <c r="O26" s="78"/>
      <c r="P26" s="78" t="str">
        <f t="shared" si="4"/>
        <v>,kaishaku_no</v>
      </c>
      <c r="Q26" s="78" t="str">
        <f t="shared" si="0"/>
        <v>TEXT</v>
      </c>
      <c r="R26" s="78" t="str">
        <f t="shared" si="1"/>
        <v/>
      </c>
      <c r="S26" s="78" t="str">
        <f t="shared" si="5"/>
        <v/>
      </c>
      <c r="T26" s="78" t="str">
        <f t="shared" si="6"/>
        <v>-- 解釈番号</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milscm_2023_010.azn_202310_base_merge_dpc_efg.kaishaku_no IS '解釈番号';</v>
      </c>
    </row>
    <row r="27" spans="1:45" s="25" customFormat="1">
      <c r="A27" s="4"/>
      <c r="B27" s="21">
        <f t="shared" si="2"/>
        <v>15</v>
      </c>
      <c r="C27" s="6" t="s">
        <v>331</v>
      </c>
      <c r="D27" s="6" t="s">
        <v>146</v>
      </c>
      <c r="E27" s="8"/>
      <c r="F27" s="7" t="s">
        <v>318</v>
      </c>
      <c r="G27" s="7" t="str">
        <f t="shared" si="3"/>
        <v>text</v>
      </c>
      <c r="H27" s="26"/>
      <c r="I27" s="10"/>
      <c r="J27" s="11" t="s">
        <v>147</v>
      </c>
      <c r="N27" s="78"/>
      <c r="O27" s="78"/>
      <c r="P27" s="78" t="str">
        <f t="shared" si="4"/>
        <v>,sinryo_meisai_name</v>
      </c>
      <c r="Q27" s="78" t="str">
        <f t="shared" si="0"/>
        <v>TEXT</v>
      </c>
      <c r="R27" s="78" t="str">
        <f t="shared" si="1"/>
        <v/>
      </c>
      <c r="S27" s="78" t="str">
        <f t="shared" si="5"/>
        <v/>
      </c>
      <c r="T27" s="78" t="str">
        <f t="shared" si="6"/>
        <v>-- 診療明細名称</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milscm_2023_010.azn_202310_base_merge_dpc_efg.sinryo_meisai_name IS '診療明細名称';</v>
      </c>
    </row>
    <row r="28" spans="1:45" s="25" customFormat="1" ht="37.5">
      <c r="A28" s="4"/>
      <c r="B28" s="21">
        <f t="shared" si="2"/>
        <v>16</v>
      </c>
      <c r="C28" s="13" t="s">
        <v>332</v>
      </c>
      <c r="D28" s="13" t="s">
        <v>129</v>
      </c>
      <c r="E28" s="7"/>
      <c r="F28" s="7" t="s">
        <v>333</v>
      </c>
      <c r="G28" s="7" t="str">
        <f t="shared" si="3"/>
        <v>numeric</v>
      </c>
      <c r="H28" s="58"/>
      <c r="I28" s="23"/>
      <c r="J28" s="24" t="s">
        <v>150</v>
      </c>
      <c r="N28" s="78"/>
      <c r="O28" s="78"/>
      <c r="P28" s="78" t="str">
        <f t="shared" si="4"/>
        <v>,shiyoryo</v>
      </c>
      <c r="Q28" s="78" t="str">
        <f t="shared" si="0"/>
        <v>NUMERIC</v>
      </c>
      <c r="R28" s="78" t="str">
        <f t="shared" si="1"/>
        <v/>
      </c>
      <c r="S28" s="78" t="str">
        <f t="shared" si="5"/>
        <v/>
      </c>
      <c r="T28" s="78" t="str">
        <f t="shared" si="6"/>
        <v>-- 使用量</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milscm_2023_010.azn_202310_base_merge_dpc_efg.shiyoryo IS '使用量';</v>
      </c>
    </row>
    <row r="29" spans="1:45" s="25" customFormat="1">
      <c r="A29" s="4"/>
      <c r="B29" s="21">
        <f t="shared" si="2"/>
        <v>17</v>
      </c>
      <c r="C29" s="6" t="s">
        <v>334</v>
      </c>
      <c r="D29" s="6" t="s">
        <v>277</v>
      </c>
      <c r="E29" s="8"/>
      <c r="F29" s="7" t="s">
        <v>318</v>
      </c>
      <c r="G29" s="7" t="str">
        <f t="shared" si="3"/>
        <v>text</v>
      </c>
      <c r="H29" s="26"/>
      <c r="I29" s="10"/>
      <c r="J29" s="11"/>
      <c r="N29" s="78"/>
      <c r="O29" s="78"/>
      <c r="P29" s="78" t="str">
        <f t="shared" si="4"/>
        <v>,unit</v>
      </c>
      <c r="Q29" s="78" t="str">
        <f t="shared" si="0"/>
        <v>TEXT</v>
      </c>
      <c r="R29" s="78" t="str">
        <f t="shared" si="1"/>
        <v/>
      </c>
      <c r="S29" s="78" t="str">
        <f t="shared" si="5"/>
        <v/>
      </c>
      <c r="T29" s="78" t="str">
        <f t="shared" si="6"/>
        <v>-- 基準単位</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milscm_2023_010.azn_202310_base_merge_dpc_efg.unit IS '基準単位';</v>
      </c>
    </row>
    <row r="30" spans="1:45" s="25" customFormat="1">
      <c r="A30" s="4"/>
      <c r="B30" s="21">
        <f t="shared" si="2"/>
        <v>18</v>
      </c>
      <c r="C30" s="13" t="s">
        <v>335</v>
      </c>
      <c r="D30" s="13" t="s">
        <v>130</v>
      </c>
      <c r="E30" s="7"/>
      <c r="F30" s="7" t="s">
        <v>333</v>
      </c>
      <c r="G30" s="7" t="str">
        <f t="shared" si="3"/>
        <v>numeric</v>
      </c>
      <c r="H30" s="58"/>
      <c r="I30" s="23"/>
      <c r="J30" s="24"/>
      <c r="N30" s="78"/>
      <c r="O30" s="78"/>
      <c r="P30" s="78" t="str">
        <f t="shared" si="4"/>
        <v>,meisai_tensu</v>
      </c>
      <c r="Q30" s="78" t="str">
        <f t="shared" si="0"/>
        <v>NUMERIC</v>
      </c>
      <c r="R30" s="78" t="str">
        <f t="shared" si="1"/>
        <v/>
      </c>
      <c r="S30" s="78" t="str">
        <f t="shared" si="5"/>
        <v/>
      </c>
      <c r="T30" s="78" t="str">
        <f t="shared" si="6"/>
        <v>-- 明細点数・金額</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milscm_2023_010.azn_202310_base_merge_dpc_efg.meisai_tensu IS '明細点数・金額';</v>
      </c>
    </row>
    <row r="31" spans="1:45" s="25" customFormat="1">
      <c r="A31" s="4"/>
      <c r="B31" s="21">
        <f t="shared" si="2"/>
        <v>19</v>
      </c>
      <c r="C31" s="6" t="s">
        <v>336</v>
      </c>
      <c r="D31" s="6" t="s">
        <v>131</v>
      </c>
      <c r="E31" s="8"/>
      <c r="F31" s="7" t="s">
        <v>318</v>
      </c>
      <c r="G31" s="7" t="str">
        <f t="shared" si="3"/>
        <v>text</v>
      </c>
      <c r="H31" s="26"/>
      <c r="I31" s="10"/>
      <c r="J31" s="11" t="s">
        <v>152</v>
      </c>
      <c r="N31" s="78"/>
      <c r="O31" s="78"/>
      <c r="P31" s="78" t="str">
        <f t="shared" ref="P31:P47" si="7">IF(B31&lt;&gt;1,","&amp;D31,D31)</f>
        <v>,ten_kubun</v>
      </c>
      <c r="Q31" s="78" t="str">
        <f t="shared" ref="Q31:Q47" si="8">UPPER(G31)</f>
        <v>TEXT</v>
      </c>
      <c r="R31" s="78" t="str">
        <f t="shared" ref="R31:R47" si="9">IF(H31&lt;&gt;"","default "&amp;IF(G31="text","'"&amp;H31&amp;"'",H31),"")</f>
        <v/>
      </c>
      <c r="S31" s="78" t="str">
        <f t="shared" ref="S31:S47" si="10">IF(I31="○","NOT NULL","")</f>
        <v/>
      </c>
      <c r="T31" s="78" t="str">
        <f t="shared" ref="T31:T47" si="11">"-- "&amp;C31</f>
        <v>-- 円・点区分</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milscm_2023_010.azn_202310_base_merge_dpc_efg.ten_kubun IS '円・点区分';</v>
      </c>
    </row>
    <row r="32" spans="1:45" s="25" customFormat="1">
      <c r="A32" s="4"/>
      <c r="B32" s="21">
        <f t="shared" si="2"/>
        <v>20</v>
      </c>
      <c r="C32" s="13" t="s">
        <v>337</v>
      </c>
      <c r="D32" s="13" t="s">
        <v>338</v>
      </c>
      <c r="E32" s="7"/>
      <c r="F32" s="7" t="s">
        <v>333</v>
      </c>
      <c r="G32" s="7" t="str">
        <f t="shared" si="3"/>
        <v>numeric</v>
      </c>
      <c r="H32" s="58"/>
      <c r="I32" s="23"/>
      <c r="J32" s="24"/>
      <c r="N32" s="78"/>
      <c r="O32" s="78"/>
      <c r="P32" s="78" t="str">
        <f t="shared" si="7"/>
        <v>,dekidaka_tensu</v>
      </c>
      <c r="Q32" s="78" t="str">
        <f t="shared" si="8"/>
        <v>NUMERIC</v>
      </c>
      <c r="R32" s="78" t="str">
        <f t="shared" si="9"/>
        <v/>
      </c>
      <c r="S32" s="78" t="str">
        <f t="shared" si="10"/>
        <v/>
      </c>
      <c r="T32" s="78" t="str">
        <f t="shared" si="11"/>
        <v>-- 出来高実績点数</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milscm_2023_010.azn_202310_base_merge_dpc_efg.dekidaka_tensu IS '出来高実績点数';</v>
      </c>
    </row>
    <row r="33" spans="1:52" s="25" customFormat="1" ht="56.25">
      <c r="A33" s="4"/>
      <c r="B33" s="21">
        <f t="shared" si="2"/>
        <v>21</v>
      </c>
      <c r="C33" s="6" t="s">
        <v>339</v>
      </c>
      <c r="D33" s="6" t="s">
        <v>132</v>
      </c>
      <c r="E33" s="8"/>
      <c r="F33" s="7" t="s">
        <v>318</v>
      </c>
      <c r="G33" s="7" t="str">
        <f t="shared" si="3"/>
        <v>text</v>
      </c>
      <c r="H33" s="26"/>
      <c r="I33" s="10"/>
      <c r="J33" s="11" t="s">
        <v>299</v>
      </c>
      <c r="N33" s="78"/>
      <c r="O33" s="78"/>
      <c r="P33" s="78" t="str">
        <f t="shared" si="7"/>
        <v>,koi_meisai_kubun</v>
      </c>
      <c r="Q33" s="78" t="str">
        <f t="shared" si="8"/>
        <v>TEXT</v>
      </c>
      <c r="R33" s="78" t="str">
        <f t="shared" si="9"/>
        <v/>
      </c>
      <c r="S33" s="78" t="str">
        <f t="shared" si="10"/>
        <v/>
      </c>
      <c r="T33" s="78" t="str">
        <f t="shared" si="11"/>
        <v>-- 行為明細区分情報</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milscm_2023_010.azn_202310_base_merge_dpc_efg.koi_meisai_kubun IS '行為明細区分情報';</v>
      </c>
    </row>
    <row r="34" spans="1:52" s="25" customFormat="1" ht="56.25">
      <c r="A34" s="4"/>
      <c r="B34" s="21">
        <f t="shared" si="2"/>
        <v>22</v>
      </c>
      <c r="C34" s="13" t="s">
        <v>340</v>
      </c>
      <c r="D34" s="13" t="s">
        <v>341</v>
      </c>
      <c r="E34" s="7"/>
      <c r="F34" s="7" t="s">
        <v>333</v>
      </c>
      <c r="G34" s="7" t="str">
        <f t="shared" si="3"/>
        <v>numeric</v>
      </c>
      <c r="H34" s="58"/>
      <c r="I34" s="23"/>
      <c r="J34" s="24" t="s">
        <v>300</v>
      </c>
      <c r="N34" s="78"/>
      <c r="O34" s="78"/>
      <c r="P34" s="78" t="str">
        <f t="shared" si="7"/>
        <v>,koi_tensu</v>
      </c>
      <c r="Q34" s="78" t="str">
        <f t="shared" si="8"/>
        <v>NUMERIC</v>
      </c>
      <c r="R34" s="78" t="str">
        <f t="shared" si="9"/>
        <v/>
      </c>
      <c r="S34" s="78" t="str">
        <f t="shared" si="10"/>
        <v/>
      </c>
      <c r="T34" s="78" t="str">
        <f t="shared" si="11"/>
        <v>-- 行為点数</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milscm_2023_010.azn_202310_base_merge_dpc_efg.koi_tensu IS '行為点数';</v>
      </c>
    </row>
    <row r="35" spans="1:52" s="25" customFormat="1">
      <c r="A35" s="4"/>
      <c r="B35" s="21">
        <f t="shared" si="2"/>
        <v>23</v>
      </c>
      <c r="C35" s="6" t="s">
        <v>342</v>
      </c>
      <c r="D35" s="6" t="s">
        <v>228</v>
      </c>
      <c r="E35" s="8"/>
      <c r="F35" s="7" t="s">
        <v>333</v>
      </c>
      <c r="G35" s="7" t="str">
        <f t="shared" si="3"/>
        <v>numeric</v>
      </c>
      <c r="H35" s="26"/>
      <c r="I35" s="10"/>
      <c r="J35" s="11" t="s">
        <v>301</v>
      </c>
      <c r="N35" s="78"/>
      <c r="O35" s="78"/>
      <c r="P35" s="78" t="str">
        <f t="shared" si="7"/>
        <v>,koi_yakuzai</v>
      </c>
      <c r="Q35" s="78" t="str">
        <f t="shared" si="8"/>
        <v>NUMERIC</v>
      </c>
      <c r="R35" s="78" t="str">
        <f t="shared" si="9"/>
        <v/>
      </c>
      <c r="S35" s="78" t="str">
        <f t="shared" si="10"/>
        <v/>
      </c>
      <c r="T35" s="78" t="str">
        <f t="shared" si="11"/>
        <v>-- 行為薬剤料</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milscm_2023_010.azn_202310_base_merge_dpc_efg.koi_yakuzai IS '行為薬剤料';</v>
      </c>
    </row>
    <row r="36" spans="1:52" s="25" customFormat="1">
      <c r="A36" s="4"/>
      <c r="B36" s="21">
        <f t="shared" si="2"/>
        <v>24</v>
      </c>
      <c r="C36" s="6" t="s">
        <v>343</v>
      </c>
      <c r="D36" s="6" t="s">
        <v>230</v>
      </c>
      <c r="E36" s="8"/>
      <c r="F36" s="7" t="s">
        <v>333</v>
      </c>
      <c r="G36" s="7" t="str">
        <f t="shared" si="3"/>
        <v>numeric</v>
      </c>
      <c r="H36" s="26"/>
      <c r="I36" s="10"/>
      <c r="J36" s="11" t="s">
        <v>301</v>
      </c>
      <c r="N36" s="78"/>
      <c r="O36" s="78"/>
      <c r="P36" s="78" t="str">
        <f t="shared" si="7"/>
        <v>,koi_zairyo</v>
      </c>
      <c r="Q36" s="78" t="str">
        <f t="shared" si="8"/>
        <v>NUMERIC</v>
      </c>
      <c r="R36" s="78" t="str">
        <f t="shared" si="9"/>
        <v/>
      </c>
      <c r="S36" s="78" t="str">
        <f t="shared" si="10"/>
        <v/>
      </c>
      <c r="T36" s="78" t="str">
        <f t="shared" si="11"/>
        <v>-- 行為材料料</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milscm_2023_010.azn_202310_base_merge_dpc_efg.koi_zairyo IS '行為材料料';</v>
      </c>
    </row>
    <row r="37" spans="1:52" s="25" customFormat="1">
      <c r="A37" s="4"/>
      <c r="B37" s="21">
        <f t="shared" si="2"/>
        <v>25</v>
      </c>
      <c r="C37" s="13" t="s">
        <v>344</v>
      </c>
      <c r="D37" s="13" t="s">
        <v>133</v>
      </c>
      <c r="E37" s="7"/>
      <c r="F37" s="7" t="s">
        <v>333</v>
      </c>
      <c r="G37" s="7" t="str">
        <f t="shared" si="3"/>
        <v>numeric</v>
      </c>
      <c r="H37" s="58"/>
      <c r="I37" s="23"/>
      <c r="J37" s="24" t="s">
        <v>302</v>
      </c>
      <c r="N37" s="78"/>
      <c r="O37" s="78"/>
      <c r="P37" s="78" t="str">
        <f t="shared" si="7"/>
        <v>,koi_times</v>
      </c>
      <c r="Q37" s="78" t="str">
        <f t="shared" si="8"/>
        <v>NUMERIC</v>
      </c>
      <c r="R37" s="78" t="str">
        <f t="shared" si="9"/>
        <v/>
      </c>
      <c r="S37" s="78" t="str">
        <f t="shared" si="10"/>
        <v/>
      </c>
      <c r="T37" s="78" t="str">
        <f t="shared" si="11"/>
        <v>-- 行為回数</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milscm_2023_010.azn_202310_base_merge_dpc_efg.koi_times IS '行為回数';</v>
      </c>
    </row>
    <row r="38" spans="1:52" s="25" customFormat="1">
      <c r="A38" s="4"/>
      <c r="B38" s="21">
        <f t="shared" si="2"/>
        <v>26</v>
      </c>
      <c r="C38" s="6" t="s">
        <v>345</v>
      </c>
      <c r="D38" s="6" t="s">
        <v>232</v>
      </c>
      <c r="E38" s="8"/>
      <c r="F38" s="7" t="s">
        <v>318</v>
      </c>
      <c r="G38" s="7" t="str">
        <f t="shared" si="3"/>
        <v>text</v>
      </c>
      <c r="H38" s="26"/>
      <c r="I38" s="10"/>
      <c r="J38" s="11"/>
      <c r="N38" s="78"/>
      <c r="O38" s="78"/>
      <c r="P38" s="78" t="str">
        <f t="shared" si="7"/>
        <v>,hoken_no</v>
      </c>
      <c r="Q38" s="78" t="str">
        <f t="shared" si="8"/>
        <v>TEXT</v>
      </c>
      <c r="R38" s="78" t="str">
        <f t="shared" si="9"/>
        <v/>
      </c>
      <c r="S38" s="78" t="str">
        <f t="shared" si="10"/>
        <v/>
      </c>
      <c r="T38" s="78" t="str">
        <f t="shared" si="11"/>
        <v>-- 保険者番号</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milscm_2023_010.azn_202310_base_merge_dpc_efg.hoken_no IS '保険者番号';</v>
      </c>
    </row>
    <row r="39" spans="1:52" s="25" customFormat="1">
      <c r="A39" s="4"/>
      <c r="B39" s="21">
        <f t="shared" si="2"/>
        <v>27</v>
      </c>
      <c r="C39" s="13" t="s">
        <v>346</v>
      </c>
      <c r="D39" s="13" t="s">
        <v>234</v>
      </c>
      <c r="E39" s="7"/>
      <c r="F39" s="7" t="s">
        <v>318</v>
      </c>
      <c r="G39" s="7" t="str">
        <f t="shared" si="3"/>
        <v>text</v>
      </c>
      <c r="H39" s="58"/>
      <c r="I39" s="23"/>
      <c r="J39" s="24"/>
      <c r="N39" s="78"/>
      <c r="O39" s="78"/>
      <c r="P39" s="78" t="str">
        <f t="shared" si="7"/>
        <v>,receipt_type_code</v>
      </c>
      <c r="Q39" s="78" t="str">
        <f t="shared" si="8"/>
        <v>TEXT</v>
      </c>
      <c r="R39" s="78" t="str">
        <f t="shared" si="9"/>
        <v/>
      </c>
      <c r="S39" s="78" t="str">
        <f t="shared" si="10"/>
        <v/>
      </c>
      <c r="T39" s="78" t="str">
        <f t="shared" si="11"/>
        <v>-- レセプト種別コード</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milscm_2023_010.azn_202310_base_merge_dpc_efg.receipt_type_code IS 'レセプト種別コード';</v>
      </c>
    </row>
    <row r="40" spans="1:52" s="25" customFormat="1">
      <c r="A40" s="4"/>
      <c r="B40" s="21">
        <f t="shared" si="2"/>
        <v>28</v>
      </c>
      <c r="C40" s="6" t="s">
        <v>347</v>
      </c>
      <c r="D40" s="6" t="s">
        <v>155</v>
      </c>
      <c r="E40" s="8"/>
      <c r="F40" s="7" t="s">
        <v>318</v>
      </c>
      <c r="G40" s="7" t="str">
        <f t="shared" si="3"/>
        <v>text</v>
      </c>
      <c r="H40" s="26"/>
      <c r="I40" s="10" t="s">
        <v>127</v>
      </c>
      <c r="J40" s="11" t="s">
        <v>144</v>
      </c>
      <c r="N40" s="78"/>
      <c r="O40" s="78"/>
      <c r="P40" s="78" t="str">
        <f t="shared" si="7"/>
        <v>,jisshi_ymd</v>
      </c>
      <c r="Q40" s="78" t="str">
        <f t="shared" si="8"/>
        <v>TEXT</v>
      </c>
      <c r="R40" s="78" t="str">
        <f t="shared" si="9"/>
        <v/>
      </c>
      <c r="S40" s="78" t="str">
        <f t="shared" si="10"/>
        <v>NOT NULL</v>
      </c>
      <c r="T40" s="78" t="str">
        <f t="shared" si="11"/>
        <v>-- 実施年月日・診療開始日</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milscm_2023_010.azn_202310_base_merge_dpc_efg.jisshi_ymd IS '実施年月日・診療開始日';</v>
      </c>
    </row>
    <row r="41" spans="1:52" s="25" customFormat="1">
      <c r="A41" s="4"/>
      <c r="B41" s="21">
        <f t="shared" si="2"/>
        <v>29</v>
      </c>
      <c r="C41" s="13" t="s">
        <v>348</v>
      </c>
      <c r="D41" s="13" t="s">
        <v>236</v>
      </c>
      <c r="E41" s="7"/>
      <c r="F41" s="7" t="s">
        <v>318</v>
      </c>
      <c r="G41" s="7" t="str">
        <f t="shared" si="3"/>
        <v>text</v>
      </c>
      <c r="H41" s="58"/>
      <c r="I41" s="23"/>
      <c r="J41" s="24"/>
      <c r="N41" s="78"/>
      <c r="O41" s="78"/>
      <c r="P41" s="78" t="str">
        <f t="shared" si="7"/>
        <v>,receipt_ka_kubun</v>
      </c>
      <c r="Q41" s="78" t="str">
        <f t="shared" si="8"/>
        <v>TEXT</v>
      </c>
      <c r="R41" s="78" t="str">
        <f t="shared" si="9"/>
        <v/>
      </c>
      <c r="S41" s="78" t="str">
        <f t="shared" si="10"/>
        <v/>
      </c>
      <c r="T41" s="78" t="str">
        <f t="shared" si="11"/>
        <v>-- レセプト科区分</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milscm_2023_010.azn_202310_base_merge_dpc_efg.receipt_ka_kubun IS 'レセプト科区分';</v>
      </c>
    </row>
    <row r="42" spans="1:52" s="25" customFormat="1">
      <c r="A42" s="4"/>
      <c r="B42" s="21">
        <f t="shared" si="2"/>
        <v>30</v>
      </c>
      <c r="C42" s="6" t="s">
        <v>134</v>
      </c>
      <c r="D42" s="6" t="s">
        <v>135</v>
      </c>
      <c r="E42" s="8"/>
      <c r="F42" s="7" t="s">
        <v>318</v>
      </c>
      <c r="G42" s="7" t="str">
        <f t="shared" si="3"/>
        <v>text</v>
      </c>
      <c r="H42" s="26"/>
      <c r="I42" s="10"/>
      <c r="J42" s="11"/>
      <c r="N42" s="78"/>
      <c r="O42" s="78"/>
      <c r="P42" s="78" t="str">
        <f t="shared" si="7"/>
        <v>,department_kubun</v>
      </c>
      <c r="Q42" s="78" t="str">
        <f t="shared" si="8"/>
        <v>TEXT</v>
      </c>
      <c r="R42" s="78" t="str">
        <f t="shared" si="9"/>
        <v/>
      </c>
      <c r="S42" s="78" t="str">
        <f t="shared" si="10"/>
        <v/>
      </c>
      <c r="T42" s="78" t="str">
        <f t="shared" si="11"/>
        <v>-- 診療科区分</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milscm_2023_010.azn_202310_base_merge_dpc_efg.department_kubun IS '診療科区分';</v>
      </c>
    </row>
    <row r="43" spans="1:52" s="25" customFormat="1">
      <c r="A43" s="4"/>
      <c r="B43" s="21">
        <f t="shared" si="2"/>
        <v>31</v>
      </c>
      <c r="C43" s="13" t="s">
        <v>349</v>
      </c>
      <c r="D43" s="13" t="s">
        <v>238</v>
      </c>
      <c r="E43" s="7"/>
      <c r="F43" s="7" t="s">
        <v>318</v>
      </c>
      <c r="G43" s="7" t="str">
        <f t="shared" si="3"/>
        <v>text</v>
      </c>
      <c r="H43" s="58"/>
      <c r="I43" s="23"/>
      <c r="J43" s="24"/>
      <c r="N43" s="78"/>
      <c r="O43" s="78"/>
      <c r="P43" s="78" t="str">
        <f t="shared" si="7"/>
        <v>,doctor_code</v>
      </c>
      <c r="Q43" s="78" t="str">
        <f t="shared" si="8"/>
        <v>TEXT</v>
      </c>
      <c r="R43" s="78" t="str">
        <f t="shared" si="9"/>
        <v/>
      </c>
      <c r="S43" s="78" t="str">
        <f t="shared" si="10"/>
        <v/>
      </c>
      <c r="T43" s="78" t="str">
        <f t="shared" si="11"/>
        <v>-- 医師コード</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milscm_2023_010.azn_202310_base_merge_dpc_efg.doctor_code IS '医師コード';</v>
      </c>
    </row>
    <row r="44" spans="1:52" s="25" customFormat="1">
      <c r="A44" s="4"/>
      <c r="B44" s="21">
        <f t="shared" si="2"/>
        <v>32</v>
      </c>
      <c r="C44" s="6" t="s">
        <v>350</v>
      </c>
      <c r="D44" s="6" t="s">
        <v>240</v>
      </c>
      <c r="E44" s="8"/>
      <c r="F44" s="7" t="s">
        <v>318</v>
      </c>
      <c r="G44" s="7" t="str">
        <f t="shared" si="3"/>
        <v>text</v>
      </c>
      <c r="H44" s="26"/>
      <c r="I44" s="10"/>
      <c r="J44" s="11"/>
      <c r="N44" s="78"/>
      <c r="O44" s="78"/>
      <c r="P44" s="78" t="str">
        <f t="shared" si="7"/>
        <v>,ward_code</v>
      </c>
      <c r="Q44" s="78" t="str">
        <f t="shared" si="8"/>
        <v>TEXT</v>
      </c>
      <c r="R44" s="78" t="str">
        <f t="shared" si="9"/>
        <v/>
      </c>
      <c r="S44" s="78" t="str">
        <f t="shared" si="10"/>
        <v/>
      </c>
      <c r="T44" s="78" t="str">
        <f t="shared" si="11"/>
        <v>-- 病棟コード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milscm_2023_010.azn_202310_base_merge_dpc_efg.ward_code IS '病棟コード';</v>
      </c>
    </row>
    <row r="45" spans="1:52" s="25" customFormat="1">
      <c r="A45" s="4"/>
      <c r="B45" s="21">
        <f t="shared" si="2"/>
        <v>33</v>
      </c>
      <c r="C45" s="13" t="s">
        <v>351</v>
      </c>
      <c r="D45" s="13" t="s">
        <v>242</v>
      </c>
      <c r="E45" s="7"/>
      <c r="F45" s="7" t="s">
        <v>318</v>
      </c>
      <c r="G45" s="7" t="str">
        <f t="shared" si="3"/>
        <v>text</v>
      </c>
      <c r="H45" s="58"/>
      <c r="I45" s="23"/>
      <c r="J45" s="24" t="s">
        <v>357</v>
      </c>
      <c r="N45" s="78"/>
      <c r="O45" s="78"/>
      <c r="P45" s="78" t="str">
        <f t="shared" si="7"/>
        <v>,ward_kubun</v>
      </c>
      <c r="Q45" s="78" t="str">
        <f t="shared" si="8"/>
        <v>TEXT</v>
      </c>
      <c r="R45" s="78" t="str">
        <f t="shared" si="9"/>
        <v/>
      </c>
      <c r="S45" s="78" t="str">
        <f t="shared" si="10"/>
        <v/>
      </c>
      <c r="T45" s="78" t="str">
        <f t="shared" si="11"/>
        <v>-- 病棟区分</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milscm_2023_010.azn_202310_base_merge_dpc_efg.ward_kubun IS '病棟区分';</v>
      </c>
    </row>
    <row r="46" spans="1:52" s="25" customFormat="1">
      <c r="A46" s="4"/>
      <c r="B46" s="21">
        <f t="shared" si="2"/>
        <v>34</v>
      </c>
      <c r="C46" s="13" t="s">
        <v>352</v>
      </c>
      <c r="D46" s="13" t="s">
        <v>244</v>
      </c>
      <c r="E46" s="7"/>
      <c r="F46" s="7" t="s">
        <v>318</v>
      </c>
      <c r="G46" s="7" t="str">
        <f t="shared" si="3"/>
        <v>text</v>
      </c>
      <c r="H46" s="58"/>
      <c r="I46" s="23"/>
      <c r="J46" s="24" t="s">
        <v>304</v>
      </c>
      <c r="N46" s="78"/>
      <c r="O46" s="78"/>
      <c r="P46" s="78" t="str">
        <f t="shared" si="7"/>
        <v>,nyugai_kubun</v>
      </c>
      <c r="Q46" s="78" t="str">
        <f t="shared" si="8"/>
        <v>TEXT</v>
      </c>
      <c r="R46" s="78" t="str">
        <f t="shared" si="9"/>
        <v/>
      </c>
      <c r="S46" s="78" t="str">
        <f t="shared" si="10"/>
        <v/>
      </c>
      <c r="T46" s="78" t="str">
        <f t="shared" si="11"/>
        <v>-- 入外区分</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milscm_2023_010.azn_202310_base_merge_dpc_efg.nyugai_kubun IS '入外区分';</v>
      </c>
      <c r="AT46" s="4"/>
      <c r="AU46" s="4"/>
    </row>
    <row r="47" spans="1:52" s="25" customFormat="1" ht="19.5" thickBot="1">
      <c r="A47" s="4"/>
      <c r="B47" s="27">
        <f>ROW()-12</f>
        <v>35</v>
      </c>
      <c r="C47" s="57" t="s">
        <v>353</v>
      </c>
      <c r="D47" s="57" t="s">
        <v>246</v>
      </c>
      <c r="E47" s="56"/>
      <c r="F47" s="56" t="s">
        <v>318</v>
      </c>
      <c r="G47" s="56" t="str">
        <f t="shared" si="3"/>
        <v>text</v>
      </c>
      <c r="H47" s="59"/>
      <c r="I47" s="60"/>
      <c r="J47" s="61"/>
      <c r="L47" s="4"/>
      <c r="N47" s="78"/>
      <c r="O47" s="78"/>
      <c r="P47" s="78" t="str">
        <f t="shared" si="7"/>
        <v>,facility_type</v>
      </c>
      <c r="Q47" s="78" t="str">
        <f t="shared" si="8"/>
        <v>TEXT</v>
      </c>
      <c r="R47" s="78" t="str">
        <f t="shared" si="9"/>
        <v/>
      </c>
      <c r="S47" s="78" t="str">
        <f t="shared" si="10"/>
        <v/>
      </c>
      <c r="T47" s="78" t="str">
        <f t="shared" si="11"/>
        <v>-- 施設タイプ</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milscm_2023_010.azn_202310_base_merge_dpc_efg.facility_type IS '施設タイプ';</v>
      </c>
      <c r="AT47" s="4"/>
      <c r="AU47" s="4"/>
      <c r="AV47" s="4"/>
      <c r="AW47" s="4"/>
      <c r="AX47" s="4"/>
      <c r="AY47" s="4"/>
      <c r="AZ47" s="4"/>
    </row>
    <row r="48" spans="1:52">
      <c r="M48" s="25"/>
      <c r="N48" s="78" t="s">
        <v>142</v>
      </c>
      <c r="O48" s="78"/>
      <c r="P48" s="78"/>
      <c r="Q48" s="78"/>
      <c r="R48" s="78"/>
      <c r="S48" s="78"/>
      <c r="T48" s="78"/>
      <c r="V48" s="25"/>
      <c r="W48" s="25"/>
      <c r="X48" s="25"/>
      <c r="Y48" s="25"/>
      <c r="Z48" s="25"/>
      <c r="AJ48" s="78" t="s">
        <v>142</v>
      </c>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200-000000000000}"/>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AZ15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ENT_31_13</v>
      </c>
      <c r="E6" s="239"/>
      <c r="F6" s="239"/>
      <c r="G6" s="239"/>
      <c r="H6" s="239"/>
      <c r="I6" s="239"/>
      <c r="J6" s="240"/>
    </row>
    <row r="7" spans="1:45">
      <c r="B7" s="228" t="s">
        <v>115</v>
      </c>
      <c r="C7" s="229"/>
      <c r="D7" s="230" t="s">
        <v>312</v>
      </c>
      <c r="E7" s="231"/>
      <c r="F7" s="231"/>
      <c r="G7" s="231"/>
      <c r="H7" s="231"/>
      <c r="I7" s="231"/>
      <c r="J7" s="232"/>
    </row>
    <row r="8" spans="1:45">
      <c r="B8" s="228" t="s">
        <v>116</v>
      </c>
      <c r="C8" s="229"/>
      <c r="D8" s="230" t="str">
        <f>エンティティ一覧!AE2&amp;"_"&amp;D5&amp;"_merge_dpc_ff1"</f>
        <v>azn_202310_base_merge_dpc_ff1</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バックアップ_DPC調査データ_様式1テーブルから対象患者で絞り込んだ結果を格納するテーブル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milscm_2023_010.azn_202310_base_merge_dpc_ff1;</v>
      </c>
      <c r="O10" s="78"/>
      <c r="P10" s="78"/>
      <c r="Q10" s="78"/>
      <c r="R10" s="78"/>
      <c r="S10" s="78"/>
      <c r="T10" s="78"/>
      <c r="AJ10" s="78" t="str">
        <f>"ALTER TABLE ONLY "&amp;エンティティ一覧!$O$2&amp;"."&amp;D$8</f>
        <v>ALTER TABLE ONLY milscm_2023_010.azn_202310_base_merge_dpc_ff1</v>
      </c>
      <c r="AS10" s="78" t="str">
        <f>"ALTER TABLE "&amp;エンティティ一覧!$O$2&amp;"."&amp;D$8&amp;" OWNER TO pgmisgrp1;"</f>
        <v>ALTER TABLE milscm_2023_010.azn_202310_base_merge_dpc_ff1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milscm_2023_010.azn_202310_base_merge_dpc_ff1</v>
      </c>
      <c r="O11" s="78"/>
      <c r="P11" s="78"/>
      <c r="Q11" s="78"/>
      <c r="R11" s="78"/>
      <c r="S11" s="78"/>
      <c r="T11" s="78"/>
      <c r="AJ11" s="78" t="str">
        <f>"ADD CONSTRAINT "&amp;D$8&amp;"_pkey PRIMARY KEY"</f>
        <v>ADD CONSTRAINT azn_202310_base_merge_dpc_ff1_pkey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 IS 'ベース_DPC調査データ_様式1';</v>
      </c>
    </row>
    <row r="13" spans="1:45" s="25" customFormat="1">
      <c r="A13" s="4"/>
      <c r="B13" s="21">
        <f>ROW()-12</f>
        <v>1</v>
      </c>
      <c r="C13" s="6" t="s">
        <v>317</v>
      </c>
      <c r="D13" s="6" t="s">
        <v>201</v>
      </c>
      <c r="E13" s="8"/>
      <c r="F13" s="8" t="s">
        <v>318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milscm_2023_010.azn_202310_base_merge_dpc_ff1.torikomi_ym IS '取込年月';</v>
      </c>
    </row>
    <row r="14" spans="1:45" s="25" customFormat="1">
      <c r="A14" s="4"/>
      <c r="B14" s="21">
        <f t="shared" ref="B14:B154" si="2">ROW()-12</f>
        <v>2</v>
      </c>
      <c r="C14" s="6" t="s">
        <v>203</v>
      </c>
      <c r="D14" s="6" t="s">
        <v>204</v>
      </c>
      <c r="E14" s="8"/>
      <c r="F14" s="7" t="s">
        <v>205</v>
      </c>
      <c r="G14" s="7" t="str">
        <f t="shared" ref="G14:G155"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milscm_2023_010.azn_202310_base_merge_dpc_ff1.mil_karute_id IS '千年カルテID';</v>
      </c>
    </row>
    <row r="15" spans="1:45" s="25" customFormat="1" ht="37.5">
      <c r="A15" s="4"/>
      <c r="B15" s="21">
        <f t="shared" si="2"/>
        <v>3</v>
      </c>
      <c r="C15" s="13" t="s">
        <v>137</v>
      </c>
      <c r="D15" s="13" t="s">
        <v>128</v>
      </c>
      <c r="E15" s="7" t="s">
        <v>127</v>
      </c>
      <c r="F15" s="7" t="s">
        <v>318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milscm_2023_010.azn_202310_base_merge_dpc_ff1.facility_id IS '施設ID';</v>
      </c>
    </row>
    <row r="16" spans="1:45" s="25" customFormat="1" ht="93.75">
      <c r="B16" s="21">
        <f t="shared" si="2"/>
        <v>4</v>
      </c>
      <c r="C16" s="6" t="s">
        <v>319</v>
      </c>
      <c r="D16" s="6" t="s">
        <v>207</v>
      </c>
      <c r="E16" s="8" t="s">
        <v>127</v>
      </c>
      <c r="F16" s="7" t="s">
        <v>318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milscm_2023_010.azn_202310_base_merge_dpc_ff1.shinryo_ym IS '診療年月';</v>
      </c>
    </row>
    <row r="17" spans="1:45" s="25" customFormat="1">
      <c r="B17" s="21">
        <f t="shared" si="2"/>
        <v>5</v>
      </c>
      <c r="C17" s="6" t="s">
        <v>208</v>
      </c>
      <c r="D17" s="6" t="s">
        <v>209</v>
      </c>
      <c r="E17" s="8"/>
      <c r="F17" s="7" t="s">
        <v>318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milscm_2023_010.azn_202310_base_merge_dpc_ff1.data_type IS 'データ種別';</v>
      </c>
    </row>
    <row r="18" spans="1:45" s="25" customFormat="1">
      <c r="B18" s="21">
        <f t="shared" si="2"/>
        <v>6</v>
      </c>
      <c r="C18" s="6" t="s">
        <v>321</v>
      </c>
      <c r="D18" s="6" t="s">
        <v>211</v>
      </c>
      <c r="E18" s="8" t="s">
        <v>127</v>
      </c>
      <c r="F18" s="7" t="s">
        <v>318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milscm_2023_010.azn_202310_base_merge_dpc_ff1.shikibetsu_no IS 'データ識別番号';</v>
      </c>
    </row>
    <row r="19" spans="1:45" s="25" customFormat="1">
      <c r="B19" s="21">
        <f t="shared" si="2"/>
        <v>7</v>
      </c>
      <c r="C19" s="13" t="s">
        <v>565</v>
      </c>
      <c r="D19" s="13" t="s">
        <v>156</v>
      </c>
      <c r="E19" s="7" t="s">
        <v>127</v>
      </c>
      <c r="F19" s="7" t="s">
        <v>318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milscm_2023_010.azn_202310_base_merge_dpc_ff1.nyuin_ymd IS '入院年月日';</v>
      </c>
    </row>
    <row r="20" spans="1:45" s="25" customFormat="1">
      <c r="B20" s="21">
        <f t="shared" si="2"/>
        <v>8</v>
      </c>
      <c r="C20" s="6" t="s">
        <v>566</v>
      </c>
      <c r="D20" s="6" t="s">
        <v>567</v>
      </c>
      <c r="E20" s="8" t="s">
        <v>127</v>
      </c>
      <c r="F20" s="7" t="s">
        <v>318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milscm_2023_010.azn_202310_base_merge_dpc_ff1.times_no IS '回数管理番号';</v>
      </c>
    </row>
    <row r="21" spans="1:45" s="25" customFormat="1">
      <c r="B21" s="21">
        <f t="shared" si="2"/>
        <v>9</v>
      </c>
      <c r="C21" s="13" t="s">
        <v>568</v>
      </c>
      <c r="D21" s="13" t="s">
        <v>569</v>
      </c>
      <c r="E21" s="7" t="s">
        <v>127</v>
      </c>
      <c r="F21" s="7" t="s">
        <v>318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milscm_2023_010.azn_202310_base_merge_dpc_ff1.sokatsu_shinryo_no IS '統括診療情報番号';</v>
      </c>
    </row>
    <row r="22" spans="1:45" s="25" customFormat="1">
      <c r="B22" s="21">
        <f t="shared" si="2"/>
        <v>10</v>
      </c>
      <c r="C22" s="6" t="s">
        <v>359</v>
      </c>
      <c r="D22" s="6" t="s">
        <v>360</v>
      </c>
      <c r="E22" s="8" t="s">
        <v>127</v>
      </c>
      <c r="F22" s="7" t="s">
        <v>318</v>
      </c>
      <c r="G22" s="7" t="str">
        <f t="shared" si="3"/>
        <v>text</v>
      </c>
      <c r="H22" s="26" t="s">
        <v>812</v>
      </c>
      <c r="I22" s="10" t="s">
        <v>127</v>
      </c>
      <c r="J22" s="11" t="s">
        <v>813</v>
      </c>
      <c r="N22" s="78"/>
      <c r="O22" s="78"/>
      <c r="P22" s="78" t="str">
        <f t="shared" si="4"/>
        <v>,code</v>
      </c>
      <c r="Q22" s="78" t="str">
        <f t="shared" si="0"/>
        <v>TEXT</v>
      </c>
      <c r="R22" s="78" t="str">
        <f t="shared" si="1"/>
        <v>default 'A000010'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milscm_2023_010.azn_202310_base_merge_dpc_ff1.code IS 'コード';</v>
      </c>
    </row>
    <row r="23" spans="1:45" s="25" customFormat="1">
      <c r="A23" s="4"/>
      <c r="B23" s="21">
        <f t="shared" si="2"/>
        <v>11</v>
      </c>
      <c r="C23" s="13" t="s">
        <v>361</v>
      </c>
      <c r="D23" s="13" t="s">
        <v>362</v>
      </c>
      <c r="E23" s="7" t="s">
        <v>127</v>
      </c>
      <c r="F23" s="7" t="s">
        <v>318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milscm_2023_010.azn_202310_base_merge_dpc_ff1.version IS 'バージョン';</v>
      </c>
    </row>
    <row r="24" spans="1:45" s="25" customFormat="1">
      <c r="A24" s="4"/>
      <c r="B24" s="21">
        <f t="shared" si="2"/>
        <v>12</v>
      </c>
      <c r="C24" s="6" t="s">
        <v>363</v>
      </c>
      <c r="D24" s="6" t="s">
        <v>364</v>
      </c>
      <c r="E24" s="8" t="s">
        <v>127</v>
      </c>
      <c r="F24" s="7" t="s">
        <v>318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milscm_2023_010.azn_202310_base_merge_dpc_ff1.number IS '連番';</v>
      </c>
    </row>
    <row r="25" spans="1:45" s="25" customFormat="1">
      <c r="A25" s="4"/>
      <c r="B25" s="21">
        <f t="shared" si="2"/>
        <v>13</v>
      </c>
      <c r="C25" s="13" t="s">
        <v>570</v>
      </c>
      <c r="D25" s="13" t="s">
        <v>571</v>
      </c>
      <c r="E25" s="7"/>
      <c r="F25" s="7" t="s">
        <v>318</v>
      </c>
      <c r="G25" s="7" t="str">
        <f t="shared" si="3"/>
        <v>text</v>
      </c>
      <c r="H25" s="58"/>
      <c r="I25" s="23"/>
      <c r="J25" s="24" t="s">
        <v>144</v>
      </c>
      <c r="N25" s="78"/>
      <c r="O25" s="78"/>
      <c r="P25" s="78" t="str">
        <f t="shared" si="4"/>
        <v>,a000010_birthday</v>
      </c>
      <c r="Q25" s="78" t="str">
        <f t="shared" si="0"/>
        <v>TEXT</v>
      </c>
      <c r="R25" s="78" t="str">
        <f t="shared" si="1"/>
        <v/>
      </c>
      <c r="S25" s="78" t="str">
        <f t="shared" si="5"/>
        <v/>
      </c>
      <c r="T25" s="78" t="str">
        <f t="shared" si="6"/>
        <v>-- 生年月日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milscm_2023_010.azn_202310_base_merge_dpc_ff1.a000010_birthday IS '生年月日';</v>
      </c>
    </row>
    <row r="26" spans="1:45" s="25" customFormat="1">
      <c r="A26" s="4"/>
      <c r="B26" s="21">
        <f t="shared" si="2"/>
        <v>14</v>
      </c>
      <c r="C26" s="6" t="s">
        <v>572</v>
      </c>
      <c r="D26" s="6" t="s">
        <v>573</v>
      </c>
      <c r="E26" s="8"/>
      <c r="F26" s="7" t="s">
        <v>318</v>
      </c>
      <c r="G26" s="7" t="str">
        <f t="shared" si="3"/>
        <v>text</v>
      </c>
      <c r="H26" s="26"/>
      <c r="I26" s="10"/>
      <c r="J26" s="11" t="s">
        <v>815</v>
      </c>
      <c r="N26" s="78"/>
      <c r="O26" s="78"/>
      <c r="P26" s="78" t="str">
        <f t="shared" si="4"/>
        <v>,a000010_sex</v>
      </c>
      <c r="Q26" s="78" t="str">
        <f t="shared" si="0"/>
        <v>TEXT</v>
      </c>
      <c r="R26" s="78" t="str">
        <f t="shared" si="1"/>
        <v/>
      </c>
      <c r="S26" s="78" t="str">
        <f t="shared" si="5"/>
        <v/>
      </c>
      <c r="T26" s="78" t="str">
        <f t="shared" si="6"/>
        <v>-- 性別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milscm_2023_010.azn_202310_base_merge_dpc_ff1.a000010_sex IS '性別';</v>
      </c>
    </row>
    <row r="27" spans="1:45" s="25" customFormat="1">
      <c r="A27" s="4"/>
      <c r="B27" s="21">
        <f t="shared" si="2"/>
        <v>15</v>
      </c>
      <c r="C27" s="13" t="s">
        <v>574</v>
      </c>
      <c r="D27" s="13" t="s">
        <v>575</v>
      </c>
      <c r="E27" s="7"/>
      <c r="F27" s="7" t="s">
        <v>318</v>
      </c>
      <c r="G27" s="7" t="str">
        <f t="shared" si="3"/>
        <v>text</v>
      </c>
      <c r="H27" s="26"/>
      <c r="I27" s="10"/>
      <c r="J27" s="11"/>
      <c r="N27" s="78"/>
      <c r="O27" s="78"/>
      <c r="P27" s="78" t="str">
        <f t="shared" si="4"/>
        <v>,a000010_postal_code</v>
      </c>
      <c r="Q27" s="78" t="str">
        <f t="shared" si="0"/>
        <v>TEXT</v>
      </c>
      <c r="R27" s="78" t="str">
        <f t="shared" si="1"/>
        <v/>
      </c>
      <c r="S27" s="78" t="str">
        <f t="shared" si="5"/>
        <v/>
      </c>
      <c r="T27" s="78" t="str">
        <f t="shared" si="6"/>
        <v>-- 患者住所地域の郵便番号</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milscm_2023_010.azn_202310_base_merge_dpc_ff1.a000010_postal_code IS '患者住所地域の郵便番号';</v>
      </c>
    </row>
    <row r="28" spans="1:45" s="25" customFormat="1">
      <c r="A28" s="4"/>
      <c r="B28" s="21">
        <f t="shared" si="2"/>
        <v>16</v>
      </c>
      <c r="C28" s="6" t="s">
        <v>143</v>
      </c>
      <c r="D28" s="6" t="s">
        <v>576</v>
      </c>
      <c r="E28" s="8"/>
      <c r="F28" s="7" t="s">
        <v>318</v>
      </c>
      <c r="G28" s="7" t="str">
        <f t="shared" si="3"/>
        <v>text</v>
      </c>
      <c r="H28" s="58"/>
      <c r="I28" s="23"/>
      <c r="J28" s="24" t="s">
        <v>144</v>
      </c>
      <c r="N28" s="78"/>
      <c r="O28" s="78"/>
      <c r="P28" s="78" t="str">
        <f t="shared" si="4"/>
        <v>,a000020_nyuin_ymd</v>
      </c>
      <c r="Q28" s="78" t="str">
        <f t="shared" si="0"/>
        <v>TEXT</v>
      </c>
      <c r="R28" s="78" t="str">
        <f t="shared" si="1"/>
        <v/>
      </c>
      <c r="S28" s="78" t="str">
        <f t="shared" si="5"/>
        <v/>
      </c>
      <c r="T28" s="78" t="str">
        <f t="shared" si="6"/>
        <v>-- 入院年月日</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milscm_2023_010.azn_202310_base_merge_dpc_ff1.a000020_nyuin_ymd IS '入院年月日';</v>
      </c>
    </row>
    <row r="29" spans="1:45" s="25" customFormat="1">
      <c r="A29" s="4"/>
      <c r="B29" s="21">
        <f t="shared" si="2"/>
        <v>17</v>
      </c>
      <c r="C29" s="6" t="s">
        <v>577</v>
      </c>
      <c r="D29" s="6" t="s">
        <v>578</v>
      </c>
      <c r="E29" s="8"/>
      <c r="F29" s="7" t="s">
        <v>318</v>
      </c>
      <c r="G29" s="7" t="str">
        <f t="shared" si="3"/>
        <v>text</v>
      </c>
      <c r="H29" s="26"/>
      <c r="I29" s="10"/>
      <c r="J29" s="11"/>
      <c r="N29" s="78"/>
      <c r="O29" s="78"/>
      <c r="P29" s="78" t="str">
        <f t="shared" si="4"/>
        <v>,a000020_nyuin_route</v>
      </c>
      <c r="Q29" s="78" t="str">
        <f t="shared" si="0"/>
        <v>TEXT</v>
      </c>
      <c r="R29" s="78" t="str">
        <f t="shared" si="1"/>
        <v/>
      </c>
      <c r="S29" s="78" t="str">
        <f t="shared" si="5"/>
        <v/>
      </c>
      <c r="T29" s="78" t="str">
        <f t="shared" si="6"/>
        <v>-- 入院経路</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milscm_2023_010.azn_202310_base_merge_dpc_ff1.a000020_nyuin_route IS '入院経路';</v>
      </c>
    </row>
    <row r="30" spans="1:45" s="25" customFormat="1">
      <c r="A30" s="4"/>
      <c r="B30" s="21">
        <f t="shared" si="2"/>
        <v>18</v>
      </c>
      <c r="C30" s="13" t="s">
        <v>579</v>
      </c>
      <c r="D30" s="13" t="s">
        <v>580</v>
      </c>
      <c r="E30" s="7"/>
      <c r="F30" s="7" t="s">
        <v>318</v>
      </c>
      <c r="G30" s="7" t="str">
        <f t="shared" si="3"/>
        <v>text</v>
      </c>
      <c r="H30" s="58"/>
      <c r="I30" s="23"/>
      <c r="J30" s="24" t="s">
        <v>816</v>
      </c>
      <c r="N30" s="78"/>
      <c r="O30" s="78"/>
      <c r="P30" s="78" t="str">
        <f t="shared" si="4"/>
        <v>,a000020_shokai_flag</v>
      </c>
      <c r="Q30" s="78" t="str">
        <f t="shared" si="0"/>
        <v>TEXT</v>
      </c>
      <c r="R30" s="78" t="str">
        <f t="shared" si="1"/>
        <v/>
      </c>
      <c r="S30" s="78" t="str">
        <f t="shared" si="5"/>
        <v/>
      </c>
      <c r="T30" s="78" t="str">
        <f t="shared" si="6"/>
        <v>-- 他院よりの紹介の有無</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milscm_2023_010.azn_202310_base_merge_dpc_ff1.a000020_shokai_flag IS '他院よりの紹介の有無';</v>
      </c>
    </row>
    <row r="31" spans="1:45" s="25" customFormat="1" ht="31.5">
      <c r="A31" s="4"/>
      <c r="B31" s="21">
        <f t="shared" si="2"/>
        <v>19</v>
      </c>
      <c r="C31" s="6" t="s">
        <v>581</v>
      </c>
      <c r="D31" s="6" t="s">
        <v>582</v>
      </c>
      <c r="E31" s="8"/>
      <c r="F31" s="7" t="s">
        <v>318</v>
      </c>
      <c r="G31" s="7" t="str">
        <f t="shared" si="3"/>
        <v>text</v>
      </c>
      <c r="H31" s="26"/>
      <c r="I31" s="10"/>
      <c r="J31" s="11" t="s">
        <v>816</v>
      </c>
      <c r="N31" s="78"/>
      <c r="O31" s="78"/>
      <c r="P31" s="78" t="str">
        <f t="shared" ref="P31:P94" si="7">IF(B31&lt;&gt;1,","&amp;D31,D31)</f>
        <v>,a000020_gairai_nyuin_flag</v>
      </c>
      <c r="Q31" s="78" t="str">
        <f t="shared" ref="Q31:Q94" si="8">UPPER(G31)</f>
        <v>TEXT</v>
      </c>
      <c r="R31" s="78" t="str">
        <f t="shared" ref="R31:R94" si="9">IF(H31&lt;&gt;"","default "&amp;IF(G31="text","'"&amp;H31&amp;"'",H31),"")</f>
        <v/>
      </c>
      <c r="S31" s="78" t="str">
        <f t="shared" ref="S31:S94" si="10">IF(I31="○","NOT NULL","")</f>
        <v/>
      </c>
      <c r="T31" s="78" t="str">
        <f t="shared" ref="T31:T94" si="11">"-- "&amp;C31</f>
        <v>-- 自院の外来からの入院</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milscm_2023_010.azn_202310_base_merge_dpc_ff1.a000020_gairai_nyuin_flag IS '自院の外来からの入院';</v>
      </c>
    </row>
    <row r="32" spans="1:45" s="25" customFormat="1">
      <c r="A32" s="4"/>
      <c r="B32" s="21">
        <f t="shared" si="2"/>
        <v>20</v>
      </c>
      <c r="C32" s="13" t="s">
        <v>583</v>
      </c>
      <c r="D32" s="13" t="s">
        <v>584</v>
      </c>
      <c r="E32" s="7"/>
      <c r="F32" s="7" t="s">
        <v>318</v>
      </c>
      <c r="G32" s="7" t="str">
        <f t="shared" si="3"/>
        <v>text</v>
      </c>
      <c r="H32" s="58"/>
      <c r="I32" s="23"/>
      <c r="J32" s="24"/>
      <c r="N32" s="78"/>
      <c r="O32" s="78"/>
      <c r="P32" s="78" t="str">
        <f t="shared" si="7"/>
        <v>,a000020_yotei_nyuin</v>
      </c>
      <c r="Q32" s="78" t="str">
        <f t="shared" si="8"/>
        <v>TEXT</v>
      </c>
      <c r="R32" s="78" t="str">
        <f t="shared" si="9"/>
        <v/>
      </c>
      <c r="S32" s="78" t="str">
        <f t="shared" si="10"/>
        <v/>
      </c>
      <c r="T32" s="78" t="str">
        <f t="shared" si="11"/>
        <v>-- 予定・救急医療入院</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milscm_2023_010.azn_202310_base_merge_dpc_ff1.a000020_yotei_nyuin IS '予定・救急医療入院';</v>
      </c>
    </row>
    <row r="33" spans="1:52" s="25" customFormat="1">
      <c r="A33" s="4"/>
      <c r="B33" s="21">
        <f t="shared" si="2"/>
        <v>21</v>
      </c>
      <c r="C33" s="6" t="s">
        <v>585</v>
      </c>
      <c r="D33" s="6" t="s">
        <v>586</v>
      </c>
      <c r="E33" s="8"/>
      <c r="F33" s="7" t="s">
        <v>318</v>
      </c>
      <c r="G33" s="7" t="str">
        <f t="shared" si="3"/>
        <v>text</v>
      </c>
      <c r="H33" s="26"/>
      <c r="I33" s="10"/>
      <c r="J33" s="11" t="s">
        <v>816</v>
      </c>
      <c r="N33" s="78"/>
      <c r="O33" s="78"/>
      <c r="P33" s="78" t="str">
        <f t="shared" si="7"/>
        <v>,a000020_hanso_flag</v>
      </c>
      <c r="Q33" s="78" t="str">
        <f t="shared" si="8"/>
        <v>TEXT</v>
      </c>
      <c r="R33" s="78" t="str">
        <f t="shared" si="9"/>
        <v/>
      </c>
      <c r="S33" s="78" t="str">
        <f t="shared" si="10"/>
        <v/>
      </c>
      <c r="T33" s="78" t="str">
        <f t="shared" si="11"/>
        <v>-- 救急車による搬送の有無</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milscm_2023_010.azn_202310_base_merge_dpc_ff1.a000020_hanso_flag IS '救急車による搬送の有無';</v>
      </c>
    </row>
    <row r="34" spans="1:52" s="25" customFormat="1" ht="31.5">
      <c r="A34" s="4"/>
      <c r="B34" s="21">
        <f t="shared" si="2"/>
        <v>22</v>
      </c>
      <c r="C34" s="13" t="s">
        <v>587</v>
      </c>
      <c r="D34" s="13" t="s">
        <v>588</v>
      </c>
      <c r="E34" s="7"/>
      <c r="F34" s="7" t="s">
        <v>318</v>
      </c>
      <c r="G34" s="7" t="str">
        <f t="shared" si="3"/>
        <v>text</v>
      </c>
      <c r="H34" s="58"/>
      <c r="I34" s="23"/>
      <c r="J34" s="24" t="s">
        <v>816</v>
      </c>
      <c r="N34" s="78"/>
      <c r="O34" s="78"/>
      <c r="P34" s="78" t="str">
        <f t="shared" si="7"/>
        <v>,a000020_nyuin_homecare_flag</v>
      </c>
      <c r="Q34" s="78" t="str">
        <f t="shared" si="8"/>
        <v>TEXT</v>
      </c>
      <c r="R34" s="78" t="str">
        <f t="shared" si="9"/>
        <v/>
      </c>
      <c r="S34" s="78" t="str">
        <f t="shared" si="10"/>
        <v/>
      </c>
      <c r="T34" s="78" t="str">
        <f t="shared" si="11"/>
        <v>-- 入院前の在宅医療の有無</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milscm_2023_010.azn_202310_base_merge_dpc_ff1.a000020_nyuin_homecare_flag IS '入院前の在宅医療の有無';</v>
      </c>
    </row>
    <row r="35" spans="1:52" s="25" customFormat="1" ht="206.25">
      <c r="A35" s="4"/>
      <c r="B35" s="21">
        <f t="shared" si="2"/>
        <v>23</v>
      </c>
      <c r="C35" s="6" t="s">
        <v>589</v>
      </c>
      <c r="D35" s="6" t="s">
        <v>590</v>
      </c>
      <c r="E35" s="8"/>
      <c r="F35" s="7" t="s">
        <v>318</v>
      </c>
      <c r="G35" s="7" t="str">
        <f t="shared" si="3"/>
        <v>text</v>
      </c>
      <c r="H35" s="26"/>
      <c r="I35" s="10"/>
      <c r="J35" s="11" t="s">
        <v>817</v>
      </c>
      <c r="N35" s="78"/>
      <c r="O35" s="78"/>
      <c r="P35" s="78" t="str">
        <f t="shared" si="7"/>
        <v>,a000020_jisho_flag</v>
      </c>
      <c r="Q35" s="78" t="str">
        <f t="shared" si="8"/>
        <v>TEXT</v>
      </c>
      <c r="R35" s="78" t="str">
        <f t="shared" si="9"/>
        <v/>
      </c>
      <c r="S35" s="78" t="str">
        <f t="shared" si="10"/>
        <v/>
      </c>
      <c r="T35" s="78" t="str">
        <f t="shared" si="11"/>
        <v>-- 自傷行為・自殺企図の有無</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milscm_2023_010.azn_202310_base_merge_dpc_ff1.a000020_jisho_flag IS '自傷行為・自殺企図の有無';</v>
      </c>
    </row>
    <row r="36" spans="1:52" s="25" customFormat="1" ht="56.25">
      <c r="A36" s="4"/>
      <c r="B36" s="21">
        <f t="shared" si="2"/>
        <v>24</v>
      </c>
      <c r="C36" s="13" t="s">
        <v>591</v>
      </c>
      <c r="D36" s="13" t="s">
        <v>592</v>
      </c>
      <c r="E36" s="7"/>
      <c r="F36" s="7" t="s">
        <v>318</v>
      </c>
      <c r="G36" s="7" t="str">
        <f t="shared" si="3"/>
        <v>text</v>
      </c>
      <c r="H36" s="26"/>
      <c r="I36" s="10"/>
      <c r="J36" s="11" t="s">
        <v>818</v>
      </c>
      <c r="N36" s="78"/>
      <c r="O36" s="78"/>
      <c r="P36" s="78" t="str">
        <f t="shared" si="7"/>
        <v>,a000020_kako_jisho_flag</v>
      </c>
      <c r="Q36" s="78" t="str">
        <f t="shared" si="8"/>
        <v>TEXT</v>
      </c>
      <c r="R36" s="78" t="str">
        <f t="shared" si="9"/>
        <v/>
      </c>
      <c r="S36" s="78" t="str">
        <f t="shared" si="10"/>
        <v/>
      </c>
      <c r="T36" s="78" t="str">
        <f t="shared" si="11"/>
        <v>-- 過去の自傷行為・自殺企図の有無</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milscm_2023_010.azn_202310_base_merge_dpc_ff1.a000020_kako_jisho_flag IS '過去の自傷行為・自殺企図の有無';</v>
      </c>
    </row>
    <row r="37" spans="1:52" s="25" customFormat="1">
      <c r="A37" s="4"/>
      <c r="B37" s="21">
        <f t="shared" si="2"/>
        <v>25</v>
      </c>
      <c r="C37" s="6" t="s">
        <v>212</v>
      </c>
      <c r="D37" s="6" t="s">
        <v>593</v>
      </c>
      <c r="E37" s="8"/>
      <c r="F37" s="7" t="s">
        <v>318</v>
      </c>
      <c r="G37" s="7" t="str">
        <f t="shared" si="3"/>
        <v>text</v>
      </c>
      <c r="H37" s="58"/>
      <c r="I37" s="23"/>
      <c r="J37" s="24" t="s">
        <v>144</v>
      </c>
      <c r="N37" s="78"/>
      <c r="O37" s="78"/>
      <c r="P37" s="78" t="str">
        <f t="shared" si="7"/>
        <v>,a000030_taiin_ymd</v>
      </c>
      <c r="Q37" s="78" t="str">
        <f t="shared" si="8"/>
        <v>TEXT</v>
      </c>
      <c r="R37" s="78" t="str">
        <f t="shared" si="9"/>
        <v/>
      </c>
      <c r="S37" s="78" t="str">
        <f t="shared" si="10"/>
        <v/>
      </c>
      <c r="T37" s="78" t="str">
        <f t="shared" si="11"/>
        <v>-- 退院年月日</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milscm_2023_010.azn_202310_base_merge_dpc_ff1.a000030_taiin_ymd IS '退院年月日';</v>
      </c>
    </row>
    <row r="38" spans="1:52" s="25" customFormat="1">
      <c r="A38" s="4"/>
      <c r="B38" s="21">
        <f t="shared" si="2"/>
        <v>26</v>
      </c>
      <c r="C38" s="6" t="s">
        <v>594</v>
      </c>
      <c r="D38" s="6" t="s">
        <v>595</v>
      </c>
      <c r="E38" s="8"/>
      <c r="F38" s="7" t="s">
        <v>318</v>
      </c>
      <c r="G38" s="7" t="str">
        <f t="shared" si="3"/>
        <v>text</v>
      </c>
      <c r="H38" s="26"/>
      <c r="I38" s="10"/>
      <c r="J38" s="11"/>
      <c r="N38" s="78"/>
      <c r="O38" s="78"/>
      <c r="P38" s="78" t="str">
        <f t="shared" si="7"/>
        <v>,a000030_taiin_saki</v>
      </c>
      <c r="Q38" s="78" t="str">
        <f t="shared" si="8"/>
        <v>TEXT</v>
      </c>
      <c r="R38" s="78" t="str">
        <f t="shared" si="9"/>
        <v/>
      </c>
      <c r="S38" s="78" t="str">
        <f t="shared" si="10"/>
        <v/>
      </c>
      <c r="T38" s="78" t="str">
        <f t="shared" si="11"/>
        <v>-- 退院先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milscm_2023_010.azn_202310_base_merge_dpc_ff1.a000030_taiin_saki IS '退院先';</v>
      </c>
    </row>
    <row r="39" spans="1:52" s="25" customFormat="1">
      <c r="A39" s="4"/>
      <c r="B39" s="21">
        <f t="shared" si="2"/>
        <v>27</v>
      </c>
      <c r="C39" s="13" t="s">
        <v>596</v>
      </c>
      <c r="D39" s="13" t="s">
        <v>597</v>
      </c>
      <c r="E39" s="7"/>
      <c r="F39" s="7" t="s">
        <v>318</v>
      </c>
      <c r="G39" s="7" t="str">
        <f t="shared" si="3"/>
        <v>text</v>
      </c>
      <c r="H39" s="58"/>
      <c r="I39" s="23"/>
      <c r="J39" s="24"/>
      <c r="N39" s="78"/>
      <c r="O39" s="78"/>
      <c r="P39" s="78" t="str">
        <f t="shared" si="7"/>
        <v>,a000030_taiin_tenki</v>
      </c>
      <c r="Q39" s="78" t="str">
        <f t="shared" si="8"/>
        <v>TEXT</v>
      </c>
      <c r="R39" s="78" t="str">
        <f t="shared" si="9"/>
        <v/>
      </c>
      <c r="S39" s="78" t="str">
        <f t="shared" si="10"/>
        <v/>
      </c>
      <c r="T39" s="78" t="str">
        <f t="shared" si="11"/>
        <v>-- 退院時転帰</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milscm_2023_010.azn_202310_base_merge_dpc_ff1.a000030_taiin_tenki IS '退院時転帰';</v>
      </c>
    </row>
    <row r="40" spans="1:52" s="25" customFormat="1" ht="75">
      <c r="A40" s="4"/>
      <c r="B40" s="21">
        <f t="shared" si="2"/>
        <v>28</v>
      </c>
      <c r="C40" s="6" t="s">
        <v>598</v>
      </c>
      <c r="D40" s="6" t="s">
        <v>599</v>
      </c>
      <c r="E40" s="8"/>
      <c r="F40" s="7" t="s">
        <v>318</v>
      </c>
      <c r="G40" s="7" t="str">
        <f t="shared" si="3"/>
        <v>text</v>
      </c>
      <c r="H40" s="26"/>
      <c r="I40" s="10"/>
      <c r="J40" s="11" t="s">
        <v>819</v>
      </c>
      <c r="N40" s="78"/>
      <c r="O40" s="78"/>
      <c r="P40" s="78" t="str">
        <f t="shared" si="7"/>
        <v>,a000030_death24_flag</v>
      </c>
      <c r="Q40" s="78" t="str">
        <f t="shared" si="8"/>
        <v>TEXT</v>
      </c>
      <c r="R40" s="78" t="str">
        <f t="shared" si="9"/>
        <v/>
      </c>
      <c r="S40" s="78" t="str">
        <f t="shared" si="10"/>
        <v/>
      </c>
      <c r="T40" s="78" t="str">
        <f t="shared" si="11"/>
        <v>-- 24時間以内の死亡の有無</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milscm_2023_010.azn_202310_base_merge_dpc_ff1.a000030_death24_flag IS '24時間以内の死亡の有無';</v>
      </c>
    </row>
    <row r="41" spans="1:52" s="25" customFormat="1" ht="31.5">
      <c r="A41" s="4"/>
      <c r="B41" s="21">
        <f t="shared" si="2"/>
        <v>29</v>
      </c>
      <c r="C41" s="13" t="s">
        <v>600</v>
      </c>
      <c r="D41" s="13" t="s">
        <v>601</v>
      </c>
      <c r="E41" s="7"/>
      <c r="F41" s="7" t="s">
        <v>318</v>
      </c>
      <c r="G41" s="7" t="str">
        <f t="shared" si="3"/>
        <v>text</v>
      </c>
      <c r="H41" s="58"/>
      <c r="I41" s="23"/>
      <c r="J41" s="24" t="s">
        <v>820</v>
      </c>
      <c r="N41" s="78"/>
      <c r="O41" s="78"/>
      <c r="P41" s="78" t="str">
        <f t="shared" si="7"/>
        <v>,a000030_taiin_homecare_flag</v>
      </c>
      <c r="Q41" s="78" t="str">
        <f t="shared" si="8"/>
        <v>TEXT</v>
      </c>
      <c r="R41" s="78" t="str">
        <f t="shared" si="9"/>
        <v/>
      </c>
      <c r="S41" s="78" t="str">
        <f t="shared" si="10"/>
        <v/>
      </c>
      <c r="T41" s="78" t="str">
        <f t="shared" si="11"/>
        <v>-- 退院後の在宅医療の有無</v>
      </c>
      <c r="U41" s="4"/>
      <c r="AA41" s="4"/>
      <c r="AB41" s="4"/>
      <c r="AC41" s="4"/>
      <c r="AD41" s="4"/>
      <c r="AE41" s="4"/>
      <c r="AF41" s="4"/>
      <c r="AG41" s="4"/>
      <c r="AH41" s="4"/>
      <c r="AI41" s="4"/>
      <c r="AJ41" s="78" t="str">
        <f>IF(E41="○",IF(COUNTA(E$13:E41)=1,"",",")&amp;D41,"")</f>
        <v/>
      </c>
      <c r="AK41" s="4"/>
      <c r="AL41" s="4"/>
      <c r="AM41" s="4"/>
      <c r="AN41" s="4"/>
      <c r="AO41" s="4"/>
      <c r="AP41" s="4"/>
      <c r="AQ41" s="4"/>
      <c r="AR41" s="4"/>
      <c r="AS41" s="78" t="str">
        <f>"COMMENT ON COLUMN "&amp;エンティティ一覧!$O$2&amp;"."&amp;D$8&amp;"."&amp;D41&amp;" IS '"&amp;C41&amp;"';"</f>
        <v>COMMENT ON COLUMN milscm_2023_010.azn_202310_base_merge_dpc_ff1.a000030_taiin_homecare_flag IS '退院後の在宅医療の有無';</v>
      </c>
    </row>
    <row r="42" spans="1:52" s="25" customFormat="1">
      <c r="A42" s="4"/>
      <c r="B42" s="21">
        <f t="shared" si="2"/>
        <v>30</v>
      </c>
      <c r="C42" s="6" t="s">
        <v>602</v>
      </c>
      <c r="D42" s="6" t="s">
        <v>603</v>
      </c>
      <c r="E42" s="8"/>
      <c r="F42" s="7" t="s">
        <v>318</v>
      </c>
      <c r="G42" s="7" t="str">
        <f t="shared" si="3"/>
        <v>text</v>
      </c>
      <c r="H42" s="26"/>
      <c r="I42" s="10"/>
      <c r="J42" s="11" t="s">
        <v>144</v>
      </c>
      <c r="N42" s="78"/>
      <c r="O42" s="78"/>
      <c r="P42" s="78" t="str">
        <f t="shared" si="7"/>
        <v>,a000031_ff1_start_ymd</v>
      </c>
      <c r="Q42" s="78" t="str">
        <f t="shared" si="8"/>
        <v>TEXT</v>
      </c>
      <c r="R42" s="78" t="str">
        <f t="shared" si="9"/>
        <v/>
      </c>
      <c r="S42" s="78" t="str">
        <f t="shared" si="10"/>
        <v/>
      </c>
      <c r="T42" s="78" t="str">
        <f t="shared" si="11"/>
        <v>-- 様式1開始日</v>
      </c>
      <c r="U42" s="4"/>
      <c r="AA42" s="4"/>
      <c r="AB42" s="4"/>
      <c r="AC42" s="4"/>
      <c r="AD42" s="4"/>
      <c r="AE42" s="4"/>
      <c r="AF42" s="4"/>
      <c r="AG42" s="4"/>
      <c r="AH42" s="4"/>
      <c r="AI42" s="4"/>
      <c r="AJ42" s="78" t="str">
        <f>IF(E42="○",IF(COUNTA(E$13:E42)=1,"",",")&amp;D42,"")</f>
        <v/>
      </c>
      <c r="AK42" s="4"/>
      <c r="AL42" s="4"/>
      <c r="AM42" s="4"/>
      <c r="AN42" s="4"/>
      <c r="AO42" s="4"/>
      <c r="AP42" s="4"/>
      <c r="AQ42" s="4"/>
      <c r="AR42" s="4"/>
      <c r="AS42" s="78" t="str">
        <f>"COMMENT ON COLUMN "&amp;エンティティ一覧!$O$2&amp;"."&amp;D$8&amp;"."&amp;D42&amp;" IS '"&amp;C42&amp;"';"</f>
        <v>COMMENT ON COLUMN milscm_2023_010.azn_202310_base_merge_dpc_ff1.a000031_ff1_start_ymd IS '様式1開始日';</v>
      </c>
    </row>
    <row r="43" spans="1:52" s="25" customFormat="1">
      <c r="A43" s="4"/>
      <c r="B43" s="21">
        <f t="shared" si="2"/>
        <v>31</v>
      </c>
      <c r="C43" s="13" t="s">
        <v>604</v>
      </c>
      <c r="D43" s="13" t="s">
        <v>605</v>
      </c>
      <c r="E43" s="7"/>
      <c r="F43" s="7" t="s">
        <v>318</v>
      </c>
      <c r="G43" s="7" t="str">
        <f t="shared" si="3"/>
        <v>text</v>
      </c>
      <c r="H43" s="58"/>
      <c r="I43" s="23"/>
      <c r="J43" s="24" t="s">
        <v>144</v>
      </c>
      <c r="N43" s="78"/>
      <c r="O43" s="78"/>
      <c r="P43" s="78" t="str">
        <f t="shared" si="7"/>
        <v>,a000031_ff1_end_ymd</v>
      </c>
      <c r="Q43" s="78" t="str">
        <f t="shared" si="8"/>
        <v>TEXT</v>
      </c>
      <c r="R43" s="78" t="str">
        <f t="shared" si="9"/>
        <v/>
      </c>
      <c r="S43" s="78" t="str">
        <f t="shared" si="10"/>
        <v/>
      </c>
      <c r="T43" s="78" t="str">
        <f t="shared" si="11"/>
        <v>-- 様式1終了日</v>
      </c>
      <c r="U43" s="4"/>
      <c r="AA43" s="4"/>
      <c r="AB43" s="4"/>
      <c r="AC43" s="4"/>
      <c r="AD43" s="4"/>
      <c r="AE43" s="4"/>
      <c r="AF43" s="4"/>
      <c r="AG43" s="4"/>
      <c r="AH43" s="4"/>
      <c r="AI43" s="4"/>
      <c r="AJ43" s="78" t="str">
        <f>IF(E43="○",IF(COUNTA(E$13:E43)=1,"",",")&amp;D43,"")</f>
        <v/>
      </c>
      <c r="AK43" s="4"/>
      <c r="AL43" s="4"/>
      <c r="AM43" s="4"/>
      <c r="AN43" s="4"/>
      <c r="AO43" s="4"/>
      <c r="AP43" s="4"/>
      <c r="AQ43" s="4"/>
      <c r="AR43" s="4"/>
      <c r="AS43" s="78" t="str">
        <f>"COMMENT ON COLUMN "&amp;エンティティ一覧!$O$2&amp;"."&amp;D$8&amp;"."&amp;D43&amp;" IS '"&amp;C43&amp;"';"</f>
        <v>COMMENT ON COLUMN milscm_2023_010.azn_202310_base_merge_dpc_ff1.a000031_ff1_end_ymd IS '様式1終了日';</v>
      </c>
    </row>
    <row r="44" spans="1:52" s="25" customFormat="1" ht="31.5">
      <c r="A44" s="4"/>
      <c r="B44" s="21">
        <f t="shared" si="2"/>
        <v>32</v>
      </c>
      <c r="C44" s="6" t="s">
        <v>606</v>
      </c>
      <c r="D44" s="6" t="s">
        <v>607</v>
      </c>
      <c r="E44" s="8"/>
      <c r="F44" s="7" t="s">
        <v>318</v>
      </c>
      <c r="G44" s="7" t="str">
        <f t="shared" si="3"/>
        <v>text</v>
      </c>
      <c r="H44" s="26"/>
      <c r="I44" s="10"/>
      <c r="J44" s="11"/>
      <c r="N44" s="78"/>
      <c r="O44" s="78"/>
      <c r="P44" s="78" t="str">
        <f t="shared" si="7"/>
        <v>,a000040_department_code</v>
      </c>
      <c r="Q44" s="78" t="str">
        <f t="shared" si="8"/>
        <v>TEXT</v>
      </c>
      <c r="R44" s="78" t="str">
        <f t="shared" si="9"/>
        <v/>
      </c>
      <c r="S44" s="78" t="str">
        <f t="shared" si="10"/>
        <v/>
      </c>
      <c r="T44" s="78" t="str">
        <f t="shared" si="11"/>
        <v>-- 診療科コード</v>
      </c>
      <c r="U44" s="4"/>
      <c r="AA44" s="4"/>
      <c r="AB44" s="4"/>
      <c r="AC44" s="4"/>
      <c r="AD44" s="4"/>
      <c r="AE44" s="4"/>
      <c r="AF44" s="4"/>
      <c r="AG44" s="4"/>
      <c r="AH44" s="4"/>
      <c r="AI44" s="4"/>
      <c r="AJ44" s="78" t="str">
        <f>IF(E44="○",IF(COUNTA(E$13:E44)=1,"",",")&amp;D44,"")</f>
        <v/>
      </c>
      <c r="AK44" s="4"/>
      <c r="AL44" s="4"/>
      <c r="AM44" s="4"/>
      <c r="AN44" s="4"/>
      <c r="AO44" s="4"/>
      <c r="AP44" s="4"/>
      <c r="AQ44" s="4"/>
      <c r="AR44" s="4"/>
      <c r="AS44" s="78" t="str">
        <f>"COMMENT ON COLUMN "&amp;エンティティ一覧!$O$2&amp;"."&amp;D$8&amp;"."&amp;D44&amp;" IS '"&amp;C44&amp;"';"</f>
        <v>COMMENT ON COLUMN milscm_2023_010.azn_202310_base_merge_dpc_ff1.a000040_department_code IS '診療科コード';</v>
      </c>
    </row>
    <row r="45" spans="1:52" s="25" customFormat="1">
      <c r="A45" s="4"/>
      <c r="B45" s="21">
        <f t="shared" si="2"/>
        <v>33</v>
      </c>
      <c r="C45" s="13" t="s">
        <v>608</v>
      </c>
      <c r="D45" s="13" t="s">
        <v>609</v>
      </c>
      <c r="E45" s="7"/>
      <c r="F45" s="7" t="s">
        <v>318</v>
      </c>
      <c r="G45" s="7" t="str">
        <f t="shared" si="3"/>
        <v>text</v>
      </c>
      <c r="H45" s="58"/>
      <c r="I45" s="23"/>
      <c r="J45" s="24" t="s">
        <v>816</v>
      </c>
      <c r="N45" s="78"/>
      <c r="O45" s="78"/>
      <c r="P45" s="78" t="str">
        <f t="shared" si="7"/>
        <v>,a000040_tenka_flag</v>
      </c>
      <c r="Q45" s="78" t="str">
        <f t="shared" si="8"/>
        <v>TEXT</v>
      </c>
      <c r="R45" s="78" t="str">
        <f t="shared" si="9"/>
        <v/>
      </c>
      <c r="S45" s="78" t="str">
        <f t="shared" si="10"/>
        <v/>
      </c>
      <c r="T45" s="78" t="str">
        <f t="shared" si="11"/>
        <v>-- 転科の有無</v>
      </c>
      <c r="U45" s="4"/>
      <c r="AA45" s="4"/>
      <c r="AB45" s="4"/>
      <c r="AC45" s="4"/>
      <c r="AD45" s="4"/>
      <c r="AE45" s="4"/>
      <c r="AF45" s="4"/>
      <c r="AG45" s="4"/>
      <c r="AH45" s="4"/>
      <c r="AI45" s="4"/>
      <c r="AJ45" s="78" t="str">
        <f>IF(E45="○",IF(COUNTA(E$13:E45)=1,"",",")&amp;D45,"")</f>
        <v/>
      </c>
      <c r="AK45" s="4"/>
      <c r="AL45" s="4"/>
      <c r="AM45" s="4"/>
      <c r="AN45" s="4"/>
      <c r="AO45" s="4"/>
      <c r="AP45" s="4"/>
      <c r="AQ45" s="4"/>
      <c r="AR45" s="4"/>
      <c r="AS45" s="78" t="str">
        <f>"COMMENT ON COLUMN "&amp;エンティティ一覧!$O$2&amp;"."&amp;D$8&amp;"."&amp;D45&amp;" IS '"&amp;C45&amp;"';"</f>
        <v>COMMENT ON COLUMN milscm_2023_010.azn_202310_base_merge_dpc_ff1.a000040_tenka_flag IS '転科の有無';</v>
      </c>
    </row>
    <row r="46" spans="1:52" s="25" customFormat="1" ht="31.5">
      <c r="A46" s="4"/>
      <c r="B46" s="21">
        <f t="shared" si="2"/>
        <v>34</v>
      </c>
      <c r="C46" s="6" t="s">
        <v>610</v>
      </c>
      <c r="D46" s="6" t="s">
        <v>611</v>
      </c>
      <c r="E46" s="8"/>
      <c r="F46" s="7" t="s">
        <v>318</v>
      </c>
      <c r="G46" s="7" t="str">
        <f t="shared" si="3"/>
        <v>text</v>
      </c>
      <c r="H46" s="58"/>
      <c r="I46" s="23"/>
      <c r="J46" s="24"/>
      <c r="N46" s="78"/>
      <c r="O46" s="78"/>
      <c r="P46" s="78" t="str">
        <f t="shared" si="7"/>
        <v>,a000050_ippan_ward_flag</v>
      </c>
      <c r="Q46" s="78" t="str">
        <f t="shared" si="8"/>
        <v>TEXT</v>
      </c>
      <c r="R46" s="78" t="str">
        <f t="shared" si="9"/>
        <v/>
      </c>
      <c r="S46" s="78" t="str">
        <f t="shared" si="10"/>
        <v/>
      </c>
      <c r="T46" s="78" t="str">
        <f t="shared" si="11"/>
        <v>-- 調査対象となる一般病棟への入院の有無</v>
      </c>
      <c r="U46" s="4"/>
      <c r="AA46" s="4"/>
      <c r="AB46" s="4"/>
      <c r="AC46" s="4"/>
      <c r="AD46" s="4"/>
      <c r="AE46" s="4"/>
      <c r="AF46" s="4"/>
      <c r="AG46" s="4"/>
      <c r="AH46" s="4"/>
      <c r="AI46" s="4"/>
      <c r="AJ46" s="78" t="str">
        <f>IF(E46="○",IF(COUNTA(E$13:E46)=1,"",",")&amp;D46,"")</f>
        <v/>
      </c>
      <c r="AK46" s="4"/>
      <c r="AL46" s="4"/>
      <c r="AM46" s="4"/>
      <c r="AN46" s="4"/>
      <c r="AO46" s="4"/>
      <c r="AP46" s="4"/>
      <c r="AQ46" s="4"/>
      <c r="AR46" s="4"/>
      <c r="AS46" s="78" t="str">
        <f>"COMMENT ON COLUMN "&amp;エンティティ一覧!$O$2&amp;"."&amp;D$8&amp;"."&amp;D46&amp;" IS '"&amp;C46&amp;"';"</f>
        <v>COMMENT ON COLUMN milscm_2023_010.azn_202310_base_merge_dpc_ff1.a000050_ippan_ward_flag IS '調査対象となる一般病棟への入院の有無';</v>
      </c>
      <c r="AT46" s="4"/>
      <c r="AU46" s="4"/>
    </row>
    <row r="47" spans="1:52" s="25" customFormat="1" ht="31.5">
      <c r="A47" s="4"/>
      <c r="B47" s="21">
        <f t="shared" si="2"/>
        <v>35</v>
      </c>
      <c r="C47" s="13" t="s">
        <v>612</v>
      </c>
      <c r="D47" s="13" t="s">
        <v>613</v>
      </c>
      <c r="E47" s="7"/>
      <c r="F47" s="7" t="s">
        <v>318</v>
      </c>
      <c r="G47" s="7" t="str">
        <f t="shared" si="3"/>
        <v>text</v>
      </c>
      <c r="H47" s="26"/>
      <c r="I47" s="10"/>
      <c r="J47" s="11"/>
      <c r="L47" s="4"/>
      <c r="N47" s="78"/>
      <c r="O47" s="78"/>
      <c r="P47" s="78" t="str">
        <f t="shared" si="7"/>
        <v>,a000050_seishin_ward_flag</v>
      </c>
      <c r="Q47" s="78" t="str">
        <f t="shared" si="8"/>
        <v>TEXT</v>
      </c>
      <c r="R47" s="78" t="str">
        <f t="shared" si="9"/>
        <v/>
      </c>
      <c r="S47" s="78" t="str">
        <f t="shared" si="10"/>
        <v/>
      </c>
      <c r="T47" s="78" t="str">
        <f t="shared" si="11"/>
        <v>-- 調査対象となる精神病棟への入院の有無</v>
      </c>
      <c r="U47" s="4"/>
      <c r="AA47" s="4"/>
      <c r="AB47" s="4"/>
      <c r="AC47" s="4"/>
      <c r="AD47" s="4"/>
      <c r="AE47" s="4"/>
      <c r="AF47" s="4"/>
      <c r="AG47" s="4"/>
      <c r="AH47" s="4"/>
      <c r="AI47" s="4"/>
      <c r="AJ47" s="78" t="str">
        <f>IF(E47="○",IF(COUNTA(E$13:E47)=1,"",",")&amp;D47,"")</f>
        <v/>
      </c>
      <c r="AK47" s="4"/>
      <c r="AL47" s="4"/>
      <c r="AM47" s="4"/>
      <c r="AN47" s="4"/>
      <c r="AO47" s="4"/>
      <c r="AP47" s="4"/>
      <c r="AQ47" s="4"/>
      <c r="AR47" s="4"/>
      <c r="AS47" s="78" t="str">
        <f>"COMMENT ON COLUMN "&amp;エンティティ一覧!$O$2&amp;"."&amp;D$8&amp;"."&amp;D47&amp;" IS '"&amp;C47&amp;"';"</f>
        <v>COMMENT ON COLUMN milscm_2023_010.azn_202310_base_merge_dpc_ff1.a000050_seishin_ward_flag IS '調査対象となる精神病棟への入院の有無';</v>
      </c>
      <c r="AT47" s="4"/>
      <c r="AU47" s="4"/>
      <c r="AV47" s="4"/>
      <c r="AW47" s="4"/>
      <c r="AX47" s="4"/>
      <c r="AY47" s="4"/>
      <c r="AZ47" s="4"/>
    </row>
    <row r="48" spans="1:52" s="25" customFormat="1" ht="31.5">
      <c r="A48" s="4"/>
      <c r="B48" s="21">
        <f t="shared" si="2"/>
        <v>36</v>
      </c>
      <c r="C48" s="13" t="s">
        <v>614</v>
      </c>
      <c r="D48" s="13" t="s">
        <v>615</v>
      </c>
      <c r="E48" s="7"/>
      <c r="F48" s="7" t="s">
        <v>318</v>
      </c>
      <c r="G48" s="7" t="str">
        <f t="shared" si="3"/>
        <v>text</v>
      </c>
      <c r="H48" s="26"/>
      <c r="I48" s="10"/>
      <c r="J48" s="11"/>
      <c r="L48" s="4"/>
      <c r="N48" s="78"/>
      <c r="O48" s="78"/>
      <c r="P48" s="78" t="str">
        <f t="shared" si="7"/>
        <v>,a000050_other_ward_flag</v>
      </c>
      <c r="Q48" s="78" t="str">
        <f t="shared" si="8"/>
        <v>TEXT</v>
      </c>
      <c r="R48" s="78" t="str">
        <f t="shared" si="9"/>
        <v/>
      </c>
      <c r="S48" s="78" t="str">
        <f t="shared" si="10"/>
        <v/>
      </c>
      <c r="T48" s="78" t="str">
        <f t="shared" si="11"/>
        <v>-- 調査対象となるその他の病棟への入院の有無</v>
      </c>
      <c r="U48" s="4"/>
      <c r="AA48" s="4"/>
      <c r="AB48" s="4"/>
      <c r="AC48" s="4"/>
      <c r="AD48" s="4"/>
      <c r="AE48" s="4"/>
      <c r="AF48" s="4"/>
      <c r="AG48" s="4"/>
      <c r="AH48" s="4"/>
      <c r="AI48" s="4"/>
      <c r="AJ48" s="78" t="str">
        <f>IF(E48="○",IF(COUNTA(E$13:E48)=1,"",",")&amp;D48,"")</f>
        <v/>
      </c>
      <c r="AK48" s="4"/>
      <c r="AL48" s="4"/>
      <c r="AM48" s="4"/>
      <c r="AN48" s="4"/>
      <c r="AO48" s="4"/>
      <c r="AP48" s="4"/>
      <c r="AQ48" s="4"/>
      <c r="AR48" s="4"/>
      <c r="AS48" s="78" t="str">
        <f>"COMMENT ON COLUMN "&amp;エンティティ一覧!$O$2&amp;"."&amp;D$8&amp;"."&amp;D48&amp;" IS '"&amp;C48&amp;"';"</f>
        <v>COMMENT ON COLUMN milscm_2023_010.azn_202310_base_merge_dpc_ff1.a000050_other_ward_flag IS '調査対象となるその他の病棟への入院の有無';</v>
      </c>
      <c r="AT48" s="4"/>
      <c r="AU48" s="4"/>
      <c r="AV48" s="4"/>
      <c r="AW48" s="4"/>
      <c r="AX48" s="4"/>
      <c r="AY48" s="4"/>
      <c r="AZ48" s="4"/>
    </row>
    <row r="49" spans="1:52" s="25" customFormat="1" ht="56.25">
      <c r="A49" s="4"/>
      <c r="B49" s="21">
        <f t="shared" si="2"/>
        <v>37</v>
      </c>
      <c r="C49" s="13" t="s">
        <v>616</v>
      </c>
      <c r="D49" s="13" t="s">
        <v>617</v>
      </c>
      <c r="E49" s="7"/>
      <c r="F49" s="7" t="s">
        <v>318</v>
      </c>
      <c r="G49" s="7" t="str">
        <f t="shared" si="3"/>
        <v>text</v>
      </c>
      <c r="H49" s="58"/>
      <c r="I49" s="23"/>
      <c r="J49" s="24" t="s">
        <v>821</v>
      </c>
      <c r="L49" s="4"/>
      <c r="N49" s="78"/>
      <c r="O49" s="78"/>
      <c r="P49" s="78" t="str">
        <f t="shared" si="7"/>
        <v>,a000060_shinryo_purpose</v>
      </c>
      <c r="Q49" s="78" t="str">
        <f t="shared" si="8"/>
        <v>TEXT</v>
      </c>
      <c r="R49" s="78" t="str">
        <f t="shared" si="9"/>
        <v/>
      </c>
      <c r="S49" s="78" t="str">
        <f t="shared" si="10"/>
        <v/>
      </c>
      <c r="T49" s="78" t="str">
        <f t="shared" si="11"/>
        <v>-- 入院中の主な診療目的</v>
      </c>
      <c r="U49" s="4"/>
      <c r="AA49" s="4"/>
      <c r="AB49" s="4"/>
      <c r="AC49" s="4"/>
      <c r="AD49" s="4"/>
      <c r="AE49" s="4"/>
      <c r="AF49" s="4"/>
      <c r="AG49" s="4"/>
      <c r="AH49" s="4"/>
      <c r="AI49" s="4"/>
      <c r="AJ49" s="78" t="str">
        <f>IF(E49="○",IF(COUNTA(E$13:E49)=1,"",",")&amp;D49,"")</f>
        <v/>
      </c>
      <c r="AK49" s="4"/>
      <c r="AL49" s="4"/>
      <c r="AM49" s="4"/>
      <c r="AN49" s="4"/>
      <c r="AO49" s="4"/>
      <c r="AP49" s="4"/>
      <c r="AQ49" s="4"/>
      <c r="AR49" s="4"/>
      <c r="AS49" s="78" t="str">
        <f>"COMMENT ON COLUMN "&amp;エンティティ一覧!$O$2&amp;"."&amp;D$8&amp;"."&amp;D49&amp;" IS '"&amp;C49&amp;"';"</f>
        <v>COMMENT ON COLUMN milscm_2023_010.azn_202310_base_merge_dpc_ff1.a000060_shinryo_purpose IS '入院中の主な診療目的';</v>
      </c>
      <c r="AT49" s="4"/>
      <c r="AU49" s="4"/>
      <c r="AV49" s="4"/>
      <c r="AW49" s="4"/>
      <c r="AX49" s="4"/>
      <c r="AY49" s="4"/>
      <c r="AZ49" s="4"/>
    </row>
    <row r="50" spans="1:52" s="25" customFormat="1">
      <c r="A50" s="4"/>
      <c r="B50" s="21">
        <f t="shared" si="2"/>
        <v>38</v>
      </c>
      <c r="C50" s="6" t="s">
        <v>618</v>
      </c>
      <c r="D50" s="6" t="s">
        <v>619</v>
      </c>
      <c r="E50" s="8"/>
      <c r="F50" s="7" t="s">
        <v>318</v>
      </c>
      <c r="G50" s="7" t="str">
        <f t="shared" si="3"/>
        <v>text</v>
      </c>
      <c r="H50" s="26"/>
      <c r="I50" s="10"/>
      <c r="J50" s="11" t="s">
        <v>816</v>
      </c>
      <c r="L50" s="4"/>
      <c r="N50" s="78"/>
      <c r="O50" s="78"/>
      <c r="P50" s="78" t="str">
        <f t="shared" si="7"/>
        <v>,a000060_trial_flag</v>
      </c>
      <c r="Q50" s="78" t="str">
        <f t="shared" si="8"/>
        <v>TEXT</v>
      </c>
      <c r="R50" s="78" t="str">
        <f t="shared" si="9"/>
        <v/>
      </c>
      <c r="S50" s="78" t="str">
        <f t="shared" si="10"/>
        <v/>
      </c>
      <c r="T50" s="78" t="str">
        <f t="shared" si="11"/>
        <v>-- 治験実施の有無</v>
      </c>
      <c r="U50" s="4"/>
      <c r="AA50" s="4"/>
      <c r="AB50" s="4"/>
      <c r="AC50" s="4"/>
      <c r="AD50" s="4"/>
      <c r="AE50" s="4"/>
      <c r="AF50" s="4"/>
      <c r="AG50" s="4"/>
      <c r="AH50" s="4"/>
      <c r="AI50" s="4"/>
      <c r="AJ50" s="78" t="str">
        <f>IF(E50="○",IF(COUNTA(E$13:E50)=1,"",",")&amp;D50,"")</f>
        <v/>
      </c>
      <c r="AK50" s="4"/>
      <c r="AL50" s="4"/>
      <c r="AM50" s="4"/>
      <c r="AN50" s="4"/>
      <c r="AO50" s="4"/>
      <c r="AP50" s="4"/>
      <c r="AQ50" s="4"/>
      <c r="AR50" s="4"/>
      <c r="AS50" s="78" t="str">
        <f>"COMMENT ON COLUMN "&amp;エンティティ一覧!$O$2&amp;"."&amp;D$8&amp;"."&amp;D50&amp;" IS '"&amp;C50&amp;"';"</f>
        <v>COMMENT ON COLUMN milscm_2023_010.azn_202310_base_merge_dpc_ff1.a000060_trial_flag IS '治験実施の有無';</v>
      </c>
      <c r="AT50" s="4"/>
      <c r="AU50" s="4"/>
      <c r="AV50" s="4"/>
      <c r="AW50" s="4"/>
      <c r="AX50" s="4"/>
      <c r="AY50" s="4"/>
      <c r="AZ50" s="4"/>
    </row>
    <row r="51" spans="1:52" s="25" customFormat="1">
      <c r="A51" s="4"/>
      <c r="B51" s="21">
        <f t="shared" si="2"/>
        <v>39</v>
      </c>
      <c r="C51" s="13" t="s">
        <v>620</v>
      </c>
      <c r="D51" s="13" t="s">
        <v>621</v>
      </c>
      <c r="E51" s="7"/>
      <c r="F51" s="7" t="s">
        <v>318</v>
      </c>
      <c r="G51" s="7" t="str">
        <f t="shared" si="3"/>
        <v>text</v>
      </c>
      <c r="H51" s="58"/>
      <c r="I51" s="23"/>
      <c r="J51" s="24" t="s">
        <v>144</v>
      </c>
      <c r="L51" s="4"/>
      <c r="N51" s="78"/>
      <c r="O51" s="78"/>
      <c r="P51" s="78" t="str">
        <f t="shared" si="7"/>
        <v>,a000070_zentaiin_ymd</v>
      </c>
      <c r="Q51" s="78" t="str">
        <f t="shared" si="8"/>
        <v>TEXT</v>
      </c>
      <c r="R51" s="78" t="str">
        <f t="shared" si="9"/>
        <v/>
      </c>
      <c r="S51" s="78" t="str">
        <f t="shared" si="10"/>
        <v/>
      </c>
      <c r="T51" s="78" t="str">
        <f t="shared" si="11"/>
        <v>-- 前回退院年月日</v>
      </c>
      <c r="U51" s="4"/>
      <c r="AA51" s="4"/>
      <c r="AB51" s="4"/>
      <c r="AC51" s="4"/>
      <c r="AD51" s="4"/>
      <c r="AE51" s="4"/>
      <c r="AF51" s="4"/>
      <c r="AG51" s="4"/>
      <c r="AH51" s="4"/>
      <c r="AI51" s="4"/>
      <c r="AJ51" s="78" t="str">
        <f>IF(E51="○",IF(COUNTA(E$13:E51)=1,"",",")&amp;D51,"")</f>
        <v/>
      </c>
      <c r="AK51" s="4"/>
      <c r="AL51" s="4"/>
      <c r="AM51" s="4"/>
      <c r="AN51" s="4"/>
      <c r="AO51" s="4"/>
      <c r="AP51" s="4"/>
      <c r="AQ51" s="4"/>
      <c r="AR51" s="4"/>
      <c r="AS51" s="78" t="str">
        <f>"COMMENT ON COLUMN "&amp;エンティティ一覧!$O$2&amp;"."&amp;D$8&amp;"."&amp;D51&amp;" IS '"&amp;C51&amp;"';"</f>
        <v>COMMENT ON COLUMN milscm_2023_010.azn_202310_base_merge_dpc_ff1.a000070_zentaiin_ymd IS '前回退院年月日';</v>
      </c>
      <c r="AT51" s="4"/>
      <c r="AU51" s="4"/>
      <c r="AV51" s="4"/>
      <c r="AW51" s="4"/>
      <c r="AX51" s="4"/>
      <c r="AY51" s="4"/>
      <c r="AZ51" s="4"/>
    </row>
    <row r="52" spans="1:52" s="25" customFormat="1" ht="31.5">
      <c r="A52" s="4"/>
      <c r="B52" s="21">
        <f t="shared" si="2"/>
        <v>40</v>
      </c>
      <c r="C52" s="6" t="s">
        <v>622</v>
      </c>
      <c r="D52" s="6" t="s">
        <v>623</v>
      </c>
      <c r="E52" s="8"/>
      <c r="F52" s="7" t="s">
        <v>318</v>
      </c>
      <c r="G52" s="7" t="str">
        <f t="shared" si="3"/>
        <v>text</v>
      </c>
      <c r="H52" s="26"/>
      <c r="I52" s="10"/>
      <c r="J52" s="11" t="s">
        <v>144</v>
      </c>
      <c r="L52" s="4"/>
      <c r="N52" s="78"/>
      <c r="O52" s="78"/>
      <c r="P52" s="78" t="str">
        <f t="shared" si="7"/>
        <v>,a000070_same_jiin_nyuin_flag</v>
      </c>
      <c r="Q52" s="78" t="str">
        <f t="shared" si="8"/>
        <v>TEXT</v>
      </c>
      <c r="R52" s="78" t="str">
        <f t="shared" si="9"/>
        <v/>
      </c>
      <c r="S52" s="78" t="str">
        <f t="shared" si="10"/>
        <v/>
      </c>
      <c r="T52" s="78" t="str">
        <f t="shared" si="11"/>
        <v>-- 前回同一傷病で自院入院の有無</v>
      </c>
      <c r="U52" s="4"/>
      <c r="AA52" s="4"/>
      <c r="AB52" s="4"/>
      <c r="AC52" s="4"/>
      <c r="AD52" s="4"/>
      <c r="AE52" s="4"/>
      <c r="AF52" s="4"/>
      <c r="AG52" s="4"/>
      <c r="AH52" s="4"/>
      <c r="AI52" s="4"/>
      <c r="AJ52" s="78" t="str">
        <f>IF(E52="○",IF(COUNTA(E$13:E52)=1,"",",")&amp;D52,"")</f>
        <v/>
      </c>
      <c r="AK52" s="4"/>
      <c r="AL52" s="4"/>
      <c r="AM52" s="4"/>
      <c r="AN52" s="4"/>
      <c r="AO52" s="4"/>
      <c r="AP52" s="4"/>
      <c r="AQ52" s="4"/>
      <c r="AR52" s="4"/>
      <c r="AS52" s="78" t="str">
        <f>"COMMENT ON COLUMN "&amp;エンティティ一覧!$O$2&amp;"."&amp;D$8&amp;"."&amp;D52&amp;" IS '"&amp;C52&amp;"';"</f>
        <v>COMMENT ON COLUMN milscm_2023_010.azn_202310_base_merge_dpc_ff1.a000070_same_jiin_nyuin_flag IS '前回同一傷病で自院入院の有無';</v>
      </c>
      <c r="AT52" s="4"/>
      <c r="AU52" s="4"/>
      <c r="AV52" s="4"/>
      <c r="AW52" s="4"/>
      <c r="AX52" s="4"/>
      <c r="AY52" s="4"/>
      <c r="AZ52" s="4"/>
    </row>
    <row r="53" spans="1:52" s="25" customFormat="1">
      <c r="A53" s="4"/>
      <c r="B53" s="21">
        <f t="shared" si="2"/>
        <v>41</v>
      </c>
      <c r="C53" s="13" t="s">
        <v>624</v>
      </c>
      <c r="D53" s="13" t="s">
        <v>625</v>
      </c>
      <c r="E53" s="7"/>
      <c r="F53" s="7" t="s">
        <v>318</v>
      </c>
      <c r="G53" s="7" t="str">
        <f t="shared" si="3"/>
        <v>text</v>
      </c>
      <c r="H53" s="58"/>
      <c r="I53" s="23"/>
      <c r="J53" s="24" t="s">
        <v>822</v>
      </c>
      <c r="L53" s="4"/>
      <c r="M53" s="4"/>
      <c r="N53" s="78"/>
      <c r="O53" s="78"/>
      <c r="P53" s="78" t="str">
        <f t="shared" si="7"/>
        <v>,a000080_sai_nyuin_type</v>
      </c>
      <c r="Q53" s="78" t="str">
        <f t="shared" si="8"/>
        <v>TEXT</v>
      </c>
      <c r="R53" s="78" t="str">
        <f t="shared" si="9"/>
        <v/>
      </c>
      <c r="S53" s="78" t="str">
        <f t="shared" si="10"/>
        <v/>
      </c>
      <c r="T53" s="78" t="str">
        <f t="shared" si="11"/>
        <v>-- 再入院種別</v>
      </c>
      <c r="U53" s="4"/>
      <c r="AA53" s="4"/>
      <c r="AB53" s="4"/>
      <c r="AC53" s="4"/>
      <c r="AD53" s="4"/>
      <c r="AE53" s="4"/>
      <c r="AF53" s="4"/>
      <c r="AG53" s="4"/>
      <c r="AH53" s="4"/>
      <c r="AI53" s="4"/>
      <c r="AJ53" s="78" t="str">
        <f>IF(E53="○",IF(COUNTA(E$13:E53)=1,"",",")&amp;D53,"")</f>
        <v/>
      </c>
      <c r="AK53" s="4"/>
      <c r="AL53" s="4"/>
      <c r="AM53" s="4"/>
      <c r="AN53" s="4"/>
      <c r="AO53" s="4"/>
      <c r="AP53" s="4"/>
      <c r="AQ53" s="4"/>
      <c r="AR53" s="4"/>
      <c r="AS53" s="78" t="str">
        <f>"COMMENT ON COLUMN "&amp;エンティティ一覧!$O$2&amp;"."&amp;D$8&amp;"."&amp;D53&amp;" IS '"&amp;C53&amp;"';"</f>
        <v>COMMENT ON COLUMN milscm_2023_010.azn_202310_base_merge_dpc_ff1.a000080_sai_nyuin_type IS '再入院種別';</v>
      </c>
      <c r="AT53" s="4"/>
      <c r="AU53" s="4"/>
      <c r="AV53" s="4"/>
      <c r="AW53" s="4"/>
      <c r="AX53" s="4"/>
      <c r="AY53" s="4"/>
      <c r="AZ53" s="4"/>
    </row>
    <row r="54" spans="1:52" s="25" customFormat="1">
      <c r="A54" s="4"/>
      <c r="B54" s="21">
        <f t="shared" si="2"/>
        <v>42</v>
      </c>
      <c r="C54" s="6" t="s">
        <v>626</v>
      </c>
      <c r="D54" s="6" t="s">
        <v>627</v>
      </c>
      <c r="E54" s="8"/>
      <c r="F54" s="7" t="s">
        <v>318</v>
      </c>
      <c r="G54" s="7" t="str">
        <f t="shared" si="3"/>
        <v>text</v>
      </c>
      <c r="H54" s="26"/>
      <c r="I54" s="10"/>
      <c r="J54" s="11"/>
      <c r="L54" s="4"/>
      <c r="M54" s="4"/>
      <c r="N54" s="78"/>
      <c r="O54" s="78"/>
      <c r="P54" s="78" t="str">
        <f t="shared" si="7"/>
        <v>,a000080_riyu_type</v>
      </c>
      <c r="Q54" s="78" t="str">
        <f t="shared" si="8"/>
        <v>TEXT</v>
      </c>
      <c r="R54" s="78" t="str">
        <f t="shared" si="9"/>
        <v/>
      </c>
      <c r="S54" s="78" t="str">
        <f t="shared" si="10"/>
        <v/>
      </c>
      <c r="T54" s="78" t="str">
        <f t="shared" si="11"/>
        <v>-- 理由の種別</v>
      </c>
      <c r="U54" s="4"/>
      <c r="AA54" s="4"/>
      <c r="AB54" s="4"/>
      <c r="AC54" s="4"/>
      <c r="AD54" s="4"/>
      <c r="AE54" s="4"/>
      <c r="AF54" s="4"/>
      <c r="AG54" s="4"/>
      <c r="AH54" s="4"/>
      <c r="AI54" s="4"/>
      <c r="AJ54" s="78" t="str">
        <f>IF(E54="○",IF(COUNTA(E$13:E54)=1,"",",")&amp;D54,"")</f>
        <v/>
      </c>
      <c r="AK54" s="4"/>
      <c r="AL54" s="4"/>
      <c r="AM54" s="4"/>
      <c r="AN54" s="4"/>
      <c r="AO54" s="4"/>
      <c r="AP54" s="4"/>
      <c r="AQ54" s="4"/>
      <c r="AR54" s="4"/>
      <c r="AS54" s="78" t="str">
        <f>"COMMENT ON COLUMN "&amp;エンティティ一覧!$O$2&amp;"."&amp;D$8&amp;"."&amp;D54&amp;" IS '"&amp;C54&amp;"';"</f>
        <v>COMMENT ON COLUMN milscm_2023_010.azn_202310_base_merge_dpc_ff1.a000080_riyu_type IS '理由の種別';</v>
      </c>
      <c r="AT54" s="4"/>
      <c r="AU54" s="4"/>
      <c r="AV54" s="4"/>
      <c r="AW54" s="4"/>
      <c r="AX54" s="4"/>
      <c r="AY54" s="4"/>
      <c r="AZ54" s="4"/>
    </row>
    <row r="55" spans="1:52" s="25" customFormat="1">
      <c r="A55" s="4"/>
      <c r="B55" s="21">
        <f t="shared" si="2"/>
        <v>43</v>
      </c>
      <c r="C55" s="6" t="s">
        <v>628</v>
      </c>
      <c r="D55" s="6" t="s">
        <v>629</v>
      </c>
      <c r="E55" s="8"/>
      <c r="F55" s="7" t="s">
        <v>318</v>
      </c>
      <c r="G55" s="7" t="str">
        <f t="shared" si="3"/>
        <v>text</v>
      </c>
      <c r="H55" s="58"/>
      <c r="I55" s="23"/>
      <c r="J55" s="24" t="s">
        <v>823</v>
      </c>
      <c r="L55" s="4"/>
      <c r="M55" s="4"/>
      <c r="N55" s="78"/>
      <c r="O55" s="78"/>
      <c r="P55" s="78" t="str">
        <f t="shared" si="7"/>
        <v>,a000080_free_entry</v>
      </c>
      <c r="Q55" s="78" t="str">
        <f t="shared" si="8"/>
        <v>TEXT</v>
      </c>
      <c r="R55" s="78" t="str">
        <f t="shared" si="9"/>
        <v/>
      </c>
      <c r="S55" s="78" t="str">
        <f t="shared" si="10"/>
        <v/>
      </c>
      <c r="T55" s="78" t="str">
        <f t="shared" si="11"/>
        <v>-- 自由記載欄</v>
      </c>
      <c r="U55" s="4"/>
      <c r="AA55" s="4"/>
      <c r="AB55" s="4"/>
      <c r="AC55" s="4"/>
      <c r="AD55" s="4"/>
      <c r="AE55" s="4"/>
      <c r="AF55" s="4"/>
      <c r="AG55" s="4"/>
      <c r="AH55" s="4"/>
      <c r="AI55" s="4"/>
      <c r="AJ55" s="78" t="str">
        <f>IF(E55="○",IF(COUNTA(E$13:E55)=1,"",",")&amp;D55,"")</f>
        <v/>
      </c>
      <c r="AK55" s="4"/>
      <c r="AL55" s="4"/>
      <c r="AM55" s="4"/>
      <c r="AN55" s="4"/>
      <c r="AO55" s="4"/>
      <c r="AP55" s="4"/>
      <c r="AQ55" s="4"/>
      <c r="AR55" s="4"/>
      <c r="AS55" s="78" t="str">
        <f>"COMMENT ON COLUMN "&amp;エンティティ一覧!$O$2&amp;"."&amp;D$8&amp;"."&amp;D55&amp;" IS '"&amp;C55&amp;"';"</f>
        <v>COMMENT ON COLUMN milscm_2023_010.azn_202310_base_merge_dpc_ff1.a000080_free_entry IS '自由記載欄';</v>
      </c>
      <c r="AT55" s="4"/>
      <c r="AU55" s="4"/>
      <c r="AV55" s="4"/>
      <c r="AW55" s="4"/>
      <c r="AX55" s="4"/>
      <c r="AY55" s="4"/>
      <c r="AZ55" s="4"/>
    </row>
    <row r="56" spans="1:52" s="25" customFormat="1">
      <c r="A56" s="4"/>
      <c r="B56" s="21">
        <f t="shared" si="2"/>
        <v>44</v>
      </c>
      <c r="C56" s="13" t="s">
        <v>630</v>
      </c>
      <c r="D56" s="13" t="s">
        <v>631</v>
      </c>
      <c r="E56" s="7"/>
      <c r="F56" s="7" t="s">
        <v>318</v>
      </c>
      <c r="G56" s="7" t="str">
        <f t="shared" si="3"/>
        <v>text</v>
      </c>
      <c r="H56" s="26"/>
      <c r="I56" s="10"/>
      <c r="J56" s="11" t="s">
        <v>824</v>
      </c>
      <c r="L56" s="4"/>
      <c r="M56" s="4"/>
      <c r="N56" s="78"/>
      <c r="O56" s="78"/>
      <c r="P56" s="78" t="str">
        <f t="shared" si="7"/>
        <v>,a000090_sai_tento_type</v>
      </c>
      <c r="Q56" s="78" t="str">
        <f t="shared" si="8"/>
        <v>TEXT</v>
      </c>
      <c r="R56" s="78" t="str">
        <f t="shared" si="9"/>
        <v/>
      </c>
      <c r="S56" s="78" t="str">
        <f t="shared" si="10"/>
        <v/>
      </c>
      <c r="T56" s="78" t="str">
        <f t="shared" si="11"/>
        <v>-- 再転棟種別</v>
      </c>
      <c r="U56" s="4"/>
      <c r="AA56" s="4"/>
      <c r="AB56" s="4"/>
      <c r="AC56" s="4"/>
      <c r="AD56" s="4"/>
      <c r="AE56" s="4"/>
      <c r="AF56" s="4"/>
      <c r="AG56" s="4"/>
      <c r="AH56" s="4"/>
      <c r="AI56" s="4"/>
      <c r="AJ56" s="78" t="str">
        <f>IF(E56="○",IF(COUNTA(E$13:E56)=1,"",",")&amp;D56,"")</f>
        <v/>
      </c>
      <c r="AK56" s="4"/>
      <c r="AL56" s="4"/>
      <c r="AM56" s="4"/>
      <c r="AN56" s="4"/>
      <c r="AO56" s="4"/>
      <c r="AP56" s="4"/>
      <c r="AQ56" s="4"/>
      <c r="AR56" s="4"/>
      <c r="AS56" s="78" t="str">
        <f>"COMMENT ON COLUMN "&amp;エンティティ一覧!$O$2&amp;"."&amp;D$8&amp;"."&amp;D56&amp;" IS '"&amp;C56&amp;"';"</f>
        <v>COMMENT ON COLUMN milscm_2023_010.azn_202310_base_merge_dpc_ff1.a000090_sai_tento_type IS '再転棟種別';</v>
      </c>
      <c r="AT56" s="4"/>
      <c r="AU56" s="4"/>
      <c r="AV56" s="4"/>
      <c r="AW56" s="4"/>
      <c r="AX56" s="4"/>
      <c r="AY56" s="4"/>
      <c r="AZ56" s="4"/>
    </row>
    <row r="57" spans="1:52" s="25" customFormat="1">
      <c r="A57" s="4"/>
      <c r="B57" s="21">
        <f t="shared" si="2"/>
        <v>45</v>
      </c>
      <c r="C57" s="6" t="s">
        <v>626</v>
      </c>
      <c r="D57" s="6" t="s">
        <v>632</v>
      </c>
      <c r="E57" s="8"/>
      <c r="F57" s="7" t="s">
        <v>318</v>
      </c>
      <c r="G57" s="7" t="str">
        <f t="shared" si="3"/>
        <v>text</v>
      </c>
      <c r="H57" s="58"/>
      <c r="I57" s="23"/>
      <c r="J57" s="24"/>
      <c r="L57" s="4"/>
      <c r="M57" s="4"/>
      <c r="N57" s="78"/>
      <c r="O57" s="78"/>
      <c r="P57" s="78" t="str">
        <f t="shared" si="7"/>
        <v>,a000090_riyu_type</v>
      </c>
      <c r="Q57" s="78" t="str">
        <f t="shared" si="8"/>
        <v>TEXT</v>
      </c>
      <c r="R57" s="78" t="str">
        <f t="shared" si="9"/>
        <v/>
      </c>
      <c r="S57" s="78" t="str">
        <f t="shared" si="10"/>
        <v/>
      </c>
      <c r="T57" s="78" t="str">
        <f t="shared" si="11"/>
        <v>-- 理由の種別</v>
      </c>
      <c r="U57" s="4"/>
      <c r="AA57" s="4"/>
      <c r="AB57" s="4"/>
      <c r="AC57" s="4"/>
      <c r="AD57" s="4"/>
      <c r="AE57" s="4"/>
      <c r="AF57" s="4"/>
      <c r="AG57" s="4"/>
      <c r="AH57" s="4"/>
      <c r="AI57" s="4"/>
      <c r="AJ57" s="78" t="str">
        <f>IF(E57="○",IF(COUNTA(E$13:E57)=1,"",",")&amp;D57,"")</f>
        <v/>
      </c>
      <c r="AK57" s="4"/>
      <c r="AL57" s="4"/>
      <c r="AM57" s="4"/>
      <c r="AN57" s="4"/>
      <c r="AO57" s="4"/>
      <c r="AP57" s="4"/>
      <c r="AQ57" s="4"/>
      <c r="AR57" s="4"/>
      <c r="AS57" s="78" t="str">
        <f>"COMMENT ON COLUMN "&amp;エンティティ一覧!$O$2&amp;"."&amp;D$8&amp;"."&amp;D57&amp;" IS '"&amp;C57&amp;"';"</f>
        <v>COMMENT ON COLUMN milscm_2023_010.azn_202310_base_merge_dpc_ff1.a000090_riyu_type IS '理由の種別';</v>
      </c>
      <c r="AT57" s="4"/>
      <c r="AU57" s="4"/>
      <c r="AV57" s="4"/>
      <c r="AW57" s="4"/>
      <c r="AX57" s="4"/>
      <c r="AY57" s="4"/>
      <c r="AZ57" s="4"/>
    </row>
    <row r="58" spans="1:52" s="25" customFormat="1">
      <c r="A58" s="4"/>
      <c r="B58" s="21">
        <f t="shared" si="2"/>
        <v>46</v>
      </c>
      <c r="C58" s="13" t="s">
        <v>628</v>
      </c>
      <c r="D58" s="13" t="s">
        <v>633</v>
      </c>
      <c r="E58" s="7"/>
      <c r="F58" s="7" t="s">
        <v>318</v>
      </c>
      <c r="G58" s="7" t="str">
        <f t="shared" si="3"/>
        <v>text</v>
      </c>
      <c r="H58" s="58"/>
      <c r="I58" s="23"/>
      <c r="J58" s="24" t="s">
        <v>823</v>
      </c>
      <c r="L58" s="4"/>
      <c r="M58" s="4"/>
      <c r="N58" s="78"/>
      <c r="O58" s="78"/>
      <c r="P58" s="78" t="str">
        <f t="shared" si="7"/>
        <v>,a000090_free_entry</v>
      </c>
      <c r="Q58" s="78" t="str">
        <f t="shared" si="8"/>
        <v>TEXT</v>
      </c>
      <c r="R58" s="78" t="str">
        <f t="shared" si="9"/>
        <v/>
      </c>
      <c r="S58" s="78" t="str">
        <f t="shared" si="10"/>
        <v/>
      </c>
      <c r="T58" s="78" t="str">
        <f t="shared" si="11"/>
        <v>-- 自由記載欄</v>
      </c>
      <c r="U58" s="4"/>
      <c r="AA58" s="4"/>
      <c r="AB58" s="4"/>
      <c r="AC58" s="4"/>
      <c r="AD58" s="4"/>
      <c r="AE58" s="4"/>
      <c r="AF58" s="4"/>
      <c r="AG58" s="4"/>
      <c r="AH58" s="4"/>
      <c r="AI58" s="4"/>
      <c r="AJ58" s="78" t="str">
        <f>IF(E58="○",IF(COUNTA(E$13:E58)=1,"",",")&amp;D58,"")</f>
        <v/>
      </c>
      <c r="AK58" s="4"/>
      <c r="AL58" s="4"/>
      <c r="AM58" s="4"/>
      <c r="AN58" s="4"/>
      <c r="AO58" s="4"/>
      <c r="AP58" s="4"/>
      <c r="AQ58" s="4"/>
      <c r="AR58" s="4"/>
      <c r="AS58" s="78" t="str">
        <f>"COMMENT ON COLUMN "&amp;エンティティ一覧!$O$2&amp;"."&amp;D$8&amp;"."&amp;D58&amp;" IS '"&amp;C58&amp;"';"</f>
        <v>COMMENT ON COLUMN milscm_2023_010.azn_202310_base_merge_dpc_ff1.a000090_free_entry IS '自由記載欄';</v>
      </c>
      <c r="AT58" s="4"/>
      <c r="AU58" s="4"/>
      <c r="AV58" s="4"/>
      <c r="AW58" s="4"/>
      <c r="AX58" s="4"/>
      <c r="AY58" s="4"/>
      <c r="AZ58" s="4"/>
    </row>
    <row r="59" spans="1:52" s="25" customFormat="1">
      <c r="A59" s="4"/>
      <c r="B59" s="21">
        <f t="shared" si="2"/>
        <v>47</v>
      </c>
      <c r="C59" s="6" t="s">
        <v>634</v>
      </c>
      <c r="D59" s="6" t="s">
        <v>635</v>
      </c>
      <c r="E59" s="8"/>
      <c r="F59" s="7" t="s">
        <v>318</v>
      </c>
      <c r="G59" s="7" t="str">
        <f t="shared" si="3"/>
        <v>text</v>
      </c>
      <c r="H59" s="26"/>
      <c r="I59" s="10"/>
      <c r="J59" s="11" t="s">
        <v>825</v>
      </c>
      <c r="L59" s="4"/>
      <c r="M59" s="4"/>
      <c r="N59" s="78"/>
      <c r="O59" s="78"/>
      <c r="P59" s="78" t="str">
        <f t="shared" si="7"/>
        <v>,a001010_height</v>
      </c>
      <c r="Q59" s="78" t="str">
        <f t="shared" si="8"/>
        <v>TEXT</v>
      </c>
      <c r="R59" s="78" t="str">
        <f t="shared" si="9"/>
        <v/>
      </c>
      <c r="S59" s="78" t="str">
        <f t="shared" si="10"/>
        <v/>
      </c>
      <c r="T59" s="78" t="str">
        <f t="shared" si="11"/>
        <v>-- 身長</v>
      </c>
      <c r="U59" s="4"/>
      <c r="AA59" s="4"/>
      <c r="AB59" s="4"/>
      <c r="AC59" s="4"/>
      <c r="AD59" s="4"/>
      <c r="AE59" s="4"/>
      <c r="AF59" s="4"/>
      <c r="AG59" s="4"/>
      <c r="AH59" s="4"/>
      <c r="AI59" s="4"/>
      <c r="AJ59" s="78" t="str">
        <f>IF(E59="○",IF(COUNTA(E$13:E59)=1,"",",")&amp;D59,"")</f>
        <v/>
      </c>
      <c r="AK59" s="4"/>
      <c r="AL59" s="4"/>
      <c r="AM59" s="4"/>
      <c r="AN59" s="4"/>
      <c r="AO59" s="4"/>
      <c r="AP59" s="4"/>
      <c r="AQ59" s="4"/>
      <c r="AR59" s="4"/>
      <c r="AS59" s="78" t="str">
        <f>"COMMENT ON COLUMN "&amp;エンティティ一覧!$O$2&amp;"."&amp;D$8&amp;"."&amp;D59&amp;" IS '"&amp;C59&amp;"';"</f>
        <v>COMMENT ON COLUMN milscm_2023_010.azn_202310_base_merge_dpc_ff1.a001010_height IS '身長';</v>
      </c>
      <c r="AT59" s="4"/>
      <c r="AU59" s="4"/>
      <c r="AV59" s="4"/>
      <c r="AW59" s="4"/>
      <c r="AX59" s="4"/>
      <c r="AY59" s="4"/>
      <c r="AZ59" s="4"/>
    </row>
    <row r="60" spans="1:52" s="25" customFormat="1" ht="37.5">
      <c r="A60" s="4"/>
      <c r="B60" s="21">
        <f t="shared" si="2"/>
        <v>48</v>
      </c>
      <c r="C60" s="13" t="s">
        <v>636</v>
      </c>
      <c r="D60" s="13" t="s">
        <v>637</v>
      </c>
      <c r="E60" s="7"/>
      <c r="F60" s="7" t="s">
        <v>318</v>
      </c>
      <c r="G60" s="7" t="str">
        <f t="shared" si="3"/>
        <v>text</v>
      </c>
      <c r="H60" s="26"/>
      <c r="I60" s="10"/>
      <c r="J60" s="11" t="s">
        <v>826</v>
      </c>
      <c r="L60" s="4"/>
      <c r="M60" s="4"/>
      <c r="N60" s="78"/>
      <c r="O60" s="78"/>
      <c r="P60" s="78" t="str">
        <f t="shared" si="7"/>
        <v>,a001010_weight</v>
      </c>
      <c r="Q60" s="78" t="str">
        <f t="shared" si="8"/>
        <v>TEXT</v>
      </c>
      <c r="R60" s="78" t="str">
        <f t="shared" si="9"/>
        <v/>
      </c>
      <c r="S60" s="78" t="str">
        <f t="shared" si="10"/>
        <v/>
      </c>
      <c r="T60" s="78" t="str">
        <f t="shared" si="11"/>
        <v>-- 体重</v>
      </c>
      <c r="U60" s="4"/>
      <c r="AA60" s="4"/>
      <c r="AB60" s="4"/>
      <c r="AC60" s="4"/>
      <c r="AD60" s="4"/>
      <c r="AE60" s="4"/>
      <c r="AF60" s="4"/>
      <c r="AG60" s="4"/>
      <c r="AH60" s="4"/>
      <c r="AI60" s="4"/>
      <c r="AJ60" s="78" t="str">
        <f>IF(E60="○",IF(COUNTA(E$13:E60)=1,"",",")&amp;D60,"")</f>
        <v/>
      </c>
      <c r="AK60" s="4"/>
      <c r="AL60" s="4"/>
      <c r="AM60" s="4"/>
      <c r="AN60" s="4"/>
      <c r="AO60" s="4"/>
      <c r="AP60" s="4"/>
      <c r="AQ60" s="4"/>
      <c r="AR60" s="4"/>
      <c r="AS60" s="78" t="str">
        <f>"COMMENT ON COLUMN "&amp;エンティティ一覧!$O$2&amp;"."&amp;D$8&amp;"."&amp;D60&amp;" IS '"&amp;C60&amp;"';"</f>
        <v>COMMENT ON COLUMN milscm_2023_010.azn_202310_base_merge_dpc_ff1.a001010_weight IS '体重';</v>
      </c>
      <c r="AT60" s="4"/>
      <c r="AU60" s="4"/>
      <c r="AV60" s="4"/>
      <c r="AW60" s="4"/>
      <c r="AX60" s="4"/>
      <c r="AY60" s="4"/>
      <c r="AZ60" s="4"/>
    </row>
    <row r="61" spans="1:52" s="25" customFormat="1">
      <c r="A61" s="4"/>
      <c r="B61" s="21">
        <f t="shared" si="2"/>
        <v>49</v>
      </c>
      <c r="C61" s="6" t="s">
        <v>638</v>
      </c>
      <c r="D61" s="6" t="s">
        <v>639</v>
      </c>
      <c r="E61" s="8"/>
      <c r="F61" s="7" t="s">
        <v>318</v>
      </c>
      <c r="G61" s="7" t="str">
        <f t="shared" si="3"/>
        <v>text</v>
      </c>
      <c r="H61" s="58"/>
      <c r="I61" s="23"/>
      <c r="J61" s="24" t="s">
        <v>827</v>
      </c>
      <c r="L61" s="4"/>
      <c r="M61" s="4"/>
      <c r="N61" s="78"/>
      <c r="O61" s="78"/>
      <c r="P61" s="78" t="str">
        <f t="shared" si="7"/>
        <v>,a001020_smoking</v>
      </c>
      <c r="Q61" s="78" t="str">
        <f t="shared" si="8"/>
        <v>TEXT</v>
      </c>
      <c r="R61" s="78" t="str">
        <f t="shared" si="9"/>
        <v/>
      </c>
      <c r="S61" s="78" t="str">
        <f t="shared" si="10"/>
        <v/>
      </c>
      <c r="T61" s="78" t="str">
        <f t="shared" si="11"/>
        <v>-- 喫煙指数</v>
      </c>
      <c r="U61" s="4"/>
      <c r="AA61" s="4"/>
      <c r="AB61" s="4"/>
      <c r="AC61" s="4"/>
      <c r="AD61" s="4"/>
      <c r="AE61" s="4"/>
      <c r="AF61" s="4"/>
      <c r="AG61" s="4"/>
      <c r="AH61" s="4"/>
      <c r="AI61" s="4"/>
      <c r="AJ61" s="78" t="str">
        <f>IF(E61="○",IF(COUNTA(E$13:E61)=1,"",",")&amp;D61,"")</f>
        <v/>
      </c>
      <c r="AK61" s="4"/>
      <c r="AL61" s="4"/>
      <c r="AM61" s="4"/>
      <c r="AN61" s="4"/>
      <c r="AO61" s="4"/>
      <c r="AP61" s="4"/>
      <c r="AQ61" s="4"/>
      <c r="AR61" s="4"/>
      <c r="AS61" s="78" t="str">
        <f>"COMMENT ON COLUMN "&amp;エンティティ一覧!$O$2&amp;"."&amp;D$8&amp;"."&amp;D61&amp;" IS '"&amp;C61&amp;"';"</f>
        <v>COMMENT ON COLUMN milscm_2023_010.azn_202310_base_merge_dpc_ff1.a001020_smoking IS '喫煙指数';</v>
      </c>
      <c r="AT61" s="4"/>
      <c r="AU61" s="4"/>
      <c r="AV61" s="4"/>
      <c r="AW61" s="4"/>
      <c r="AX61" s="4"/>
      <c r="AY61" s="4"/>
      <c r="AZ61" s="4"/>
    </row>
    <row r="62" spans="1:52" s="25" customFormat="1">
      <c r="A62" s="4"/>
      <c r="B62" s="21">
        <f t="shared" si="2"/>
        <v>50</v>
      </c>
      <c r="C62" s="13" t="s">
        <v>640</v>
      </c>
      <c r="D62" s="13" t="s">
        <v>641</v>
      </c>
      <c r="E62" s="7"/>
      <c r="F62" s="7" t="s">
        <v>318</v>
      </c>
      <c r="G62" s="7" t="str">
        <f t="shared" si="3"/>
        <v>text</v>
      </c>
      <c r="H62" s="26"/>
      <c r="I62" s="10"/>
      <c r="J62" s="11" t="s">
        <v>828</v>
      </c>
      <c r="L62" s="4"/>
      <c r="M62" s="4"/>
      <c r="N62" s="78"/>
      <c r="O62" s="78"/>
      <c r="P62" s="78" t="str">
        <f t="shared" si="7"/>
        <v>,a002010_ninshin_flag</v>
      </c>
      <c r="Q62" s="78" t="str">
        <f t="shared" si="8"/>
        <v>TEXT</v>
      </c>
      <c r="R62" s="78" t="str">
        <f t="shared" si="9"/>
        <v/>
      </c>
      <c r="S62" s="78" t="str">
        <f t="shared" si="10"/>
        <v/>
      </c>
      <c r="T62" s="78" t="str">
        <f t="shared" si="11"/>
        <v>-- 現在の妊娠の有無</v>
      </c>
      <c r="U62" s="4"/>
      <c r="AA62" s="4"/>
      <c r="AB62" s="4"/>
      <c r="AC62" s="4"/>
      <c r="AD62" s="4"/>
      <c r="AE62" s="4"/>
      <c r="AF62" s="4"/>
      <c r="AG62" s="4"/>
      <c r="AH62" s="4"/>
      <c r="AI62" s="4"/>
      <c r="AJ62" s="78" t="str">
        <f>IF(E62="○",IF(COUNTA(E$13:E62)=1,"",",")&amp;D62,"")</f>
        <v/>
      </c>
      <c r="AK62" s="4"/>
      <c r="AL62" s="4"/>
      <c r="AM62" s="4"/>
      <c r="AN62" s="4"/>
      <c r="AO62" s="4"/>
      <c r="AP62" s="4"/>
      <c r="AQ62" s="4"/>
      <c r="AR62" s="4"/>
      <c r="AS62" s="78" t="str">
        <f>"COMMENT ON COLUMN "&amp;エンティティ一覧!$O$2&amp;"."&amp;D$8&amp;"."&amp;D62&amp;" IS '"&amp;C62&amp;"';"</f>
        <v>COMMENT ON COLUMN milscm_2023_010.azn_202310_base_merge_dpc_ff1.a002010_ninshin_flag IS '現在の妊娠の有無';</v>
      </c>
      <c r="AT62" s="4"/>
      <c r="AU62" s="4"/>
      <c r="AV62" s="4"/>
      <c r="AW62" s="4"/>
      <c r="AX62" s="4"/>
      <c r="AY62" s="4"/>
      <c r="AZ62" s="4"/>
    </row>
    <row r="63" spans="1:52" s="25" customFormat="1">
      <c r="A63" s="4"/>
      <c r="B63" s="21">
        <f t="shared" si="2"/>
        <v>51</v>
      </c>
      <c r="C63" s="6" t="s">
        <v>642</v>
      </c>
      <c r="D63" s="6" t="s">
        <v>643</v>
      </c>
      <c r="E63" s="8"/>
      <c r="F63" s="7" t="s">
        <v>318</v>
      </c>
      <c r="G63" s="7" t="str">
        <f t="shared" si="3"/>
        <v>text</v>
      </c>
      <c r="H63" s="58"/>
      <c r="I63" s="23"/>
      <c r="J63" s="24" t="s">
        <v>829</v>
      </c>
      <c r="L63" s="4"/>
      <c r="M63" s="4"/>
      <c r="N63" s="78"/>
      <c r="O63" s="78"/>
      <c r="P63" s="78" t="str">
        <f t="shared" si="7"/>
        <v>,a002010_nyuin_ninshin</v>
      </c>
      <c r="Q63" s="78" t="str">
        <f t="shared" si="8"/>
        <v>TEXT</v>
      </c>
      <c r="R63" s="78" t="str">
        <f t="shared" si="9"/>
        <v/>
      </c>
      <c r="S63" s="78" t="str">
        <f t="shared" si="10"/>
        <v/>
      </c>
      <c r="T63" s="78" t="str">
        <f t="shared" si="11"/>
        <v>-- 入院時の妊娠週数</v>
      </c>
      <c r="U63" s="4"/>
      <c r="AA63" s="4"/>
      <c r="AB63" s="4"/>
      <c r="AC63" s="4"/>
      <c r="AD63" s="4"/>
      <c r="AE63" s="4"/>
      <c r="AF63" s="4"/>
      <c r="AG63" s="4"/>
      <c r="AH63" s="4"/>
      <c r="AI63" s="4"/>
      <c r="AJ63" s="78" t="str">
        <f>IF(E63="○",IF(COUNTA(E$13:E63)=1,"",",")&amp;D63,"")</f>
        <v/>
      </c>
      <c r="AK63" s="4"/>
      <c r="AL63" s="4"/>
      <c r="AM63" s="4"/>
      <c r="AN63" s="4"/>
      <c r="AO63" s="4"/>
      <c r="AP63" s="4"/>
      <c r="AQ63" s="4"/>
      <c r="AR63" s="4"/>
      <c r="AS63" s="78" t="str">
        <f>"COMMENT ON COLUMN "&amp;エンティティ一覧!$O$2&amp;"."&amp;D$8&amp;"."&amp;D63&amp;" IS '"&amp;C63&amp;"';"</f>
        <v>COMMENT ON COLUMN milscm_2023_010.azn_202310_base_merge_dpc_ff1.a002010_nyuin_ninshin IS '入院時の妊娠週数';</v>
      </c>
      <c r="AT63" s="4"/>
      <c r="AU63" s="4"/>
      <c r="AV63" s="4"/>
      <c r="AW63" s="4"/>
      <c r="AX63" s="4"/>
      <c r="AY63" s="4"/>
      <c r="AZ63" s="4"/>
    </row>
    <row r="64" spans="1:52" s="25" customFormat="1">
      <c r="A64" s="4"/>
      <c r="B64" s="21">
        <f t="shared" si="2"/>
        <v>52</v>
      </c>
      <c r="C64" s="13" t="s">
        <v>644</v>
      </c>
      <c r="D64" s="13" t="s">
        <v>645</v>
      </c>
      <c r="E64" s="7"/>
      <c r="F64" s="7" t="s">
        <v>318</v>
      </c>
      <c r="G64" s="7" t="str">
        <f t="shared" si="3"/>
        <v>text</v>
      </c>
      <c r="H64" s="26"/>
      <c r="I64" s="10"/>
      <c r="J64" s="11" t="s">
        <v>830</v>
      </c>
      <c r="L64" s="4"/>
      <c r="M64" s="4"/>
      <c r="N64" s="78"/>
      <c r="O64" s="78"/>
      <c r="P64" s="78" t="str">
        <f t="shared" si="7"/>
        <v>,a003010_birth_weight</v>
      </c>
      <c r="Q64" s="78" t="str">
        <f t="shared" si="8"/>
        <v>TEXT</v>
      </c>
      <c r="R64" s="78" t="str">
        <f t="shared" si="9"/>
        <v/>
      </c>
      <c r="S64" s="78" t="str">
        <f t="shared" si="10"/>
        <v/>
      </c>
      <c r="T64" s="78" t="str">
        <f t="shared" si="11"/>
        <v>-- 出生時体重</v>
      </c>
      <c r="U64" s="4"/>
      <c r="AA64" s="4"/>
      <c r="AB64" s="4"/>
      <c r="AC64" s="4"/>
      <c r="AD64" s="4"/>
      <c r="AE64" s="4"/>
      <c r="AF64" s="4"/>
      <c r="AG64" s="4"/>
      <c r="AH64" s="4"/>
      <c r="AI64" s="4"/>
      <c r="AJ64" s="78" t="str">
        <f>IF(E64="○",IF(COUNTA(E$13:E64)=1,"",",")&amp;D64,"")</f>
        <v/>
      </c>
      <c r="AK64" s="4"/>
      <c r="AL64" s="4"/>
      <c r="AM64" s="4"/>
      <c r="AN64" s="4"/>
      <c r="AO64" s="4"/>
      <c r="AP64" s="4"/>
      <c r="AQ64" s="4"/>
      <c r="AR64" s="4"/>
      <c r="AS64" s="78" t="str">
        <f>"COMMENT ON COLUMN "&amp;エンティティ一覧!$O$2&amp;"."&amp;D$8&amp;"."&amp;D64&amp;" IS '"&amp;C64&amp;"';"</f>
        <v>COMMENT ON COLUMN milscm_2023_010.azn_202310_base_merge_dpc_ff1.a003010_birth_weight IS '出生時体重';</v>
      </c>
      <c r="AT64" s="4"/>
      <c r="AU64" s="4"/>
      <c r="AV64" s="4"/>
      <c r="AW64" s="4"/>
      <c r="AX64" s="4"/>
      <c r="AY64" s="4"/>
      <c r="AZ64" s="4"/>
    </row>
    <row r="65" spans="1:52" s="25" customFormat="1">
      <c r="A65" s="4"/>
      <c r="B65" s="21">
        <f t="shared" si="2"/>
        <v>53</v>
      </c>
      <c r="C65" s="13" t="s">
        <v>646</v>
      </c>
      <c r="D65" s="13" t="s">
        <v>647</v>
      </c>
      <c r="E65" s="7"/>
      <c r="F65" s="7" t="s">
        <v>318</v>
      </c>
      <c r="G65" s="7" t="str">
        <f t="shared" si="3"/>
        <v>text</v>
      </c>
      <c r="H65" s="58"/>
      <c r="I65" s="23"/>
      <c r="J65" s="24" t="s">
        <v>829</v>
      </c>
      <c r="L65" s="4"/>
      <c r="M65" s="4"/>
      <c r="N65" s="78"/>
      <c r="O65" s="78"/>
      <c r="P65" s="78" t="str">
        <f t="shared" si="7"/>
        <v>,a003010_birth_ninshin</v>
      </c>
      <c r="Q65" s="78" t="str">
        <f t="shared" si="8"/>
        <v>TEXT</v>
      </c>
      <c r="R65" s="78" t="str">
        <f t="shared" si="9"/>
        <v/>
      </c>
      <c r="S65" s="78" t="str">
        <f t="shared" si="10"/>
        <v/>
      </c>
      <c r="T65" s="78" t="str">
        <f t="shared" si="11"/>
        <v>-- 出生時妊娠週数</v>
      </c>
      <c r="U65" s="4"/>
      <c r="AA65" s="4"/>
      <c r="AB65" s="4"/>
      <c r="AC65" s="4"/>
      <c r="AD65" s="4"/>
      <c r="AE65" s="4"/>
      <c r="AF65" s="4"/>
      <c r="AG65" s="4"/>
      <c r="AH65" s="4"/>
      <c r="AI65" s="4"/>
      <c r="AJ65" s="78" t="str">
        <f>IF(E65="○",IF(COUNTA(E$13:E65)=1,"",",")&amp;D65,"")</f>
        <v/>
      </c>
      <c r="AK65" s="4"/>
      <c r="AL65" s="4"/>
      <c r="AM65" s="4"/>
      <c r="AN65" s="4"/>
      <c r="AO65" s="4"/>
      <c r="AP65" s="4"/>
      <c r="AQ65" s="4"/>
      <c r="AR65" s="4"/>
      <c r="AS65" s="78" t="str">
        <f>"COMMENT ON COLUMN "&amp;エンティティ一覧!$O$2&amp;"."&amp;D$8&amp;"."&amp;D65&amp;" IS '"&amp;C65&amp;"';"</f>
        <v>COMMENT ON COLUMN milscm_2023_010.azn_202310_base_merge_dpc_ff1.a003010_birth_ninshin IS '出生時妊娠週数';</v>
      </c>
      <c r="AT65" s="4"/>
      <c r="AU65" s="4"/>
      <c r="AV65" s="4"/>
      <c r="AW65" s="4"/>
      <c r="AX65" s="4"/>
      <c r="AY65" s="4"/>
      <c r="AZ65" s="4"/>
    </row>
    <row r="66" spans="1:52" s="25" customFormat="1" ht="31.5">
      <c r="A66" s="4"/>
      <c r="B66" s="21">
        <f t="shared" si="2"/>
        <v>54</v>
      </c>
      <c r="C66" s="13" t="s">
        <v>648</v>
      </c>
      <c r="D66" s="13" t="s">
        <v>649</v>
      </c>
      <c r="E66" s="7"/>
      <c r="F66" s="7" t="s">
        <v>318</v>
      </c>
      <c r="G66" s="7" t="str">
        <f t="shared" si="3"/>
        <v>text</v>
      </c>
      <c r="H66" s="26"/>
      <c r="I66" s="10"/>
      <c r="J66" s="11" t="s">
        <v>831</v>
      </c>
      <c r="L66" s="4"/>
      <c r="M66" s="4"/>
      <c r="N66" s="78"/>
      <c r="O66" s="78"/>
      <c r="P66" s="78" t="str">
        <f t="shared" si="7"/>
        <v>,a004010_aged_jiritsu_kijun</v>
      </c>
      <c r="Q66" s="78" t="str">
        <f t="shared" si="8"/>
        <v>TEXT</v>
      </c>
      <c r="R66" s="78" t="str">
        <f t="shared" si="9"/>
        <v/>
      </c>
      <c r="S66" s="78" t="str">
        <f t="shared" si="10"/>
        <v/>
      </c>
      <c r="T66" s="78" t="str">
        <f t="shared" si="11"/>
        <v>-- 認知症高齢者の日常生活自立度判定基準</v>
      </c>
      <c r="U66" s="4"/>
      <c r="AA66" s="4"/>
      <c r="AB66" s="4"/>
      <c r="AC66" s="4"/>
      <c r="AD66" s="4"/>
      <c r="AE66" s="4"/>
      <c r="AF66" s="4"/>
      <c r="AG66" s="4"/>
      <c r="AH66" s="4"/>
      <c r="AI66" s="4"/>
      <c r="AJ66" s="78" t="str">
        <f>IF(E66="○",IF(COUNTA(E$13:E66)=1,"",",")&amp;D66,"")</f>
        <v/>
      </c>
      <c r="AK66" s="4"/>
      <c r="AL66" s="4"/>
      <c r="AM66" s="4"/>
      <c r="AN66" s="4"/>
      <c r="AO66" s="4"/>
      <c r="AP66" s="4"/>
      <c r="AQ66" s="4"/>
      <c r="AR66" s="4"/>
      <c r="AS66" s="78" t="str">
        <f>"COMMENT ON COLUMN "&amp;エンティティ一覧!$O$2&amp;"."&amp;D$8&amp;"."&amp;D66&amp;" IS '"&amp;C66&amp;"';"</f>
        <v>COMMENT ON COLUMN milscm_2023_010.azn_202310_base_merge_dpc_ff1.a004010_aged_jiritsu_kijun IS '認知症高齢者の日常生活自立度判定基準';</v>
      </c>
      <c r="AT66" s="4"/>
      <c r="AU66" s="4"/>
      <c r="AV66" s="4"/>
      <c r="AW66" s="4"/>
      <c r="AX66" s="4"/>
      <c r="AY66" s="4"/>
      <c r="AZ66" s="4"/>
    </row>
    <row r="67" spans="1:52" s="25" customFormat="1" ht="56.25">
      <c r="A67" s="4"/>
      <c r="B67" s="21">
        <f t="shared" si="2"/>
        <v>55</v>
      </c>
      <c r="C67" s="6" t="s">
        <v>650</v>
      </c>
      <c r="D67" s="6" t="s">
        <v>651</v>
      </c>
      <c r="E67" s="8"/>
      <c r="F67" s="7" t="s">
        <v>318</v>
      </c>
      <c r="G67" s="7" t="str">
        <f t="shared" si="3"/>
        <v>text</v>
      </c>
      <c r="H67" s="58"/>
      <c r="I67" s="23"/>
      <c r="J67" s="24" t="s">
        <v>832</v>
      </c>
      <c r="L67" s="4"/>
      <c r="M67" s="4"/>
      <c r="N67" s="78"/>
      <c r="O67" s="78"/>
      <c r="P67" s="78" t="str">
        <f t="shared" si="7"/>
        <v>,a004020_care</v>
      </c>
      <c r="Q67" s="78" t="str">
        <f t="shared" si="8"/>
        <v>TEXT</v>
      </c>
      <c r="R67" s="78" t="str">
        <f t="shared" si="9"/>
        <v/>
      </c>
      <c r="S67" s="78" t="str">
        <f t="shared" si="10"/>
        <v/>
      </c>
      <c r="T67" s="78" t="str">
        <f t="shared" si="11"/>
        <v>-- 要介護度</v>
      </c>
      <c r="U67" s="4"/>
      <c r="AA67" s="4"/>
      <c r="AB67" s="4"/>
      <c r="AC67" s="4"/>
      <c r="AD67" s="4"/>
      <c r="AE67" s="4"/>
      <c r="AF67" s="4"/>
      <c r="AG67" s="4"/>
      <c r="AH67" s="4"/>
      <c r="AI67" s="4"/>
      <c r="AJ67" s="78" t="str">
        <f>IF(E67="○",IF(COUNTA(E$13:E67)=1,"",",")&amp;D67,"")</f>
        <v/>
      </c>
      <c r="AK67" s="4"/>
      <c r="AL67" s="4"/>
      <c r="AM67" s="4"/>
      <c r="AN67" s="4"/>
      <c r="AO67" s="4"/>
      <c r="AP67" s="4"/>
      <c r="AQ67" s="4"/>
      <c r="AR67" s="4"/>
      <c r="AS67" s="78" t="str">
        <f>"COMMENT ON COLUMN "&amp;エンティティ一覧!$O$2&amp;"."&amp;D$8&amp;"."&amp;D67&amp;" IS '"&amp;C67&amp;"';"</f>
        <v>COMMENT ON COLUMN milscm_2023_010.azn_202310_base_merge_dpc_ff1.a004020_care IS '要介護度';</v>
      </c>
      <c r="AT67" s="4"/>
      <c r="AU67" s="4"/>
      <c r="AV67" s="4"/>
      <c r="AW67" s="4"/>
      <c r="AX67" s="4"/>
      <c r="AY67" s="4"/>
      <c r="AZ67" s="4"/>
    </row>
    <row r="68" spans="1:52" s="25" customFormat="1" ht="31.5">
      <c r="A68" s="4"/>
      <c r="B68" s="21">
        <f t="shared" si="2"/>
        <v>56</v>
      </c>
      <c r="C68" s="13" t="s">
        <v>247</v>
      </c>
      <c r="D68" s="13" t="s">
        <v>652</v>
      </c>
      <c r="E68" s="7"/>
      <c r="F68" s="7" t="s">
        <v>318</v>
      </c>
      <c r="G68" s="7" t="str">
        <f t="shared" si="3"/>
        <v>text</v>
      </c>
      <c r="H68" s="26"/>
      <c r="I68" s="10"/>
      <c r="J68" s="11" t="s">
        <v>144</v>
      </c>
      <c r="L68" s="4"/>
      <c r="M68" s="4"/>
      <c r="N68" s="78"/>
      <c r="O68" s="78"/>
      <c r="P68" s="78" t="str">
        <f t="shared" si="7"/>
        <v>,a004030_santei_start_ymd</v>
      </c>
      <c r="Q68" s="78" t="str">
        <f t="shared" si="8"/>
        <v>TEXT</v>
      </c>
      <c r="R68" s="78" t="str">
        <f t="shared" si="9"/>
        <v/>
      </c>
      <c r="S68" s="78" t="str">
        <f t="shared" si="10"/>
        <v/>
      </c>
      <c r="T68" s="78" t="str">
        <f t="shared" si="11"/>
        <v>-- 算定開始日</v>
      </c>
      <c r="U68" s="4"/>
      <c r="AA68" s="4"/>
      <c r="AB68" s="4"/>
      <c r="AC68" s="4"/>
      <c r="AD68" s="4"/>
      <c r="AE68" s="4"/>
      <c r="AF68" s="4"/>
      <c r="AG68" s="4"/>
      <c r="AH68" s="4"/>
      <c r="AI68" s="4"/>
      <c r="AJ68" s="78" t="str">
        <f>IF(E68="○",IF(COUNTA(E$13:E68)=1,"",",")&amp;D68,"")</f>
        <v/>
      </c>
      <c r="AK68" s="4"/>
      <c r="AL68" s="4"/>
      <c r="AM68" s="4"/>
      <c r="AN68" s="4"/>
      <c r="AO68" s="4"/>
      <c r="AP68" s="4"/>
      <c r="AQ68" s="4"/>
      <c r="AR68" s="4"/>
      <c r="AS68" s="78" t="str">
        <f>"COMMENT ON COLUMN "&amp;エンティティ一覧!$O$2&amp;"."&amp;D$8&amp;"."&amp;D68&amp;" IS '"&amp;C68&amp;"';"</f>
        <v>COMMENT ON COLUMN milscm_2023_010.azn_202310_base_merge_dpc_ff1.a004030_santei_start_ymd IS '算定開始日';</v>
      </c>
      <c r="AT68" s="4"/>
      <c r="AU68" s="4"/>
      <c r="AV68" s="4"/>
      <c r="AW68" s="4"/>
      <c r="AX68" s="4"/>
      <c r="AY68" s="4"/>
      <c r="AZ68" s="4"/>
    </row>
    <row r="69" spans="1:52" s="25" customFormat="1">
      <c r="A69" s="4"/>
      <c r="B69" s="21">
        <f t="shared" si="2"/>
        <v>57</v>
      </c>
      <c r="C69" s="6" t="s">
        <v>249</v>
      </c>
      <c r="D69" s="6" t="s">
        <v>653</v>
      </c>
      <c r="E69" s="8"/>
      <c r="F69" s="7" t="s">
        <v>318</v>
      </c>
      <c r="G69" s="7" t="str">
        <f t="shared" si="3"/>
        <v>text</v>
      </c>
      <c r="H69" s="58"/>
      <c r="I69" s="23"/>
      <c r="J69" s="24" t="s">
        <v>144</v>
      </c>
      <c r="L69" s="4"/>
      <c r="M69" s="4"/>
      <c r="N69" s="78"/>
      <c r="O69" s="78"/>
      <c r="P69" s="78" t="str">
        <f t="shared" si="7"/>
        <v>,a004030_santei_end_ymd</v>
      </c>
      <c r="Q69" s="78" t="str">
        <f t="shared" si="8"/>
        <v>TEXT</v>
      </c>
      <c r="R69" s="78" t="str">
        <f t="shared" si="9"/>
        <v/>
      </c>
      <c r="S69" s="78" t="str">
        <f t="shared" si="10"/>
        <v/>
      </c>
      <c r="T69" s="78" t="str">
        <f t="shared" si="11"/>
        <v>-- 算定終了日</v>
      </c>
      <c r="U69" s="4"/>
      <c r="AA69" s="4"/>
      <c r="AB69" s="4"/>
      <c r="AC69" s="4"/>
      <c r="AD69" s="4"/>
      <c r="AE69" s="4"/>
      <c r="AF69" s="4"/>
      <c r="AG69" s="4"/>
      <c r="AH69" s="4"/>
      <c r="AI69" s="4"/>
      <c r="AJ69" s="78" t="str">
        <f>IF(E69="○",IF(COUNTA(E$13:E69)=1,"",",")&amp;D69,"")</f>
        <v/>
      </c>
      <c r="AK69" s="4"/>
      <c r="AL69" s="4"/>
      <c r="AM69" s="4"/>
      <c r="AN69" s="4"/>
      <c r="AO69" s="4"/>
      <c r="AP69" s="4"/>
      <c r="AQ69" s="4"/>
      <c r="AR69" s="4"/>
      <c r="AS69" s="78" t="str">
        <f>"COMMENT ON COLUMN "&amp;エンティティ一覧!$O$2&amp;"."&amp;D$8&amp;"."&amp;D69&amp;" IS '"&amp;C69&amp;"';"</f>
        <v>COMMENT ON COLUMN milscm_2023_010.azn_202310_base_merge_dpc_ff1.a004030_santei_end_ymd IS '算定終了日';</v>
      </c>
      <c r="AT69" s="4"/>
      <c r="AU69" s="4"/>
      <c r="AV69" s="4"/>
      <c r="AW69" s="4"/>
      <c r="AX69" s="4"/>
      <c r="AY69" s="4"/>
      <c r="AZ69" s="4"/>
    </row>
    <row r="70" spans="1:52" s="25" customFormat="1" ht="31.5">
      <c r="A70" s="4"/>
      <c r="B70" s="21">
        <f t="shared" si="2"/>
        <v>58</v>
      </c>
      <c r="C70" s="13" t="s">
        <v>654</v>
      </c>
      <c r="D70" s="13" t="s">
        <v>655</v>
      </c>
      <c r="E70" s="7"/>
      <c r="F70" s="7" t="s">
        <v>318</v>
      </c>
      <c r="G70" s="7" t="str">
        <f t="shared" si="3"/>
        <v>text</v>
      </c>
      <c r="H70" s="58"/>
      <c r="I70" s="23"/>
      <c r="J70" s="24" t="s">
        <v>833</v>
      </c>
      <c r="L70" s="4"/>
      <c r="M70" s="4"/>
      <c r="N70" s="78"/>
      <c r="O70" s="78"/>
      <c r="P70" s="78" t="str">
        <f t="shared" si="7"/>
        <v>,a004030_teieiyo_start_flag</v>
      </c>
      <c r="Q70" s="78" t="str">
        <f t="shared" si="8"/>
        <v>TEXT</v>
      </c>
      <c r="R70" s="78" t="str">
        <f t="shared" si="9"/>
        <v/>
      </c>
      <c r="S70" s="78" t="str">
        <f t="shared" si="10"/>
        <v/>
      </c>
      <c r="T70" s="78" t="str">
        <f t="shared" si="11"/>
        <v>-- 低栄養の有無（算定開始時）</v>
      </c>
      <c r="U70" s="4"/>
      <c r="AA70" s="4"/>
      <c r="AB70" s="4"/>
      <c r="AC70" s="4"/>
      <c r="AD70" s="4"/>
      <c r="AE70" s="4"/>
      <c r="AF70" s="4"/>
      <c r="AG70" s="4"/>
      <c r="AH70" s="4"/>
      <c r="AI70" s="4"/>
      <c r="AJ70" s="78" t="str">
        <f>IF(E70="○",IF(COUNTA(E$13:E70)=1,"",",")&amp;D70,"")</f>
        <v/>
      </c>
      <c r="AK70" s="4"/>
      <c r="AL70" s="4"/>
      <c r="AM70" s="4"/>
      <c r="AN70" s="4"/>
      <c r="AO70" s="4"/>
      <c r="AP70" s="4"/>
      <c r="AQ70" s="4"/>
      <c r="AR70" s="4"/>
      <c r="AS70" s="78" t="str">
        <f>"COMMENT ON COLUMN "&amp;エンティティ一覧!$O$2&amp;"."&amp;D$8&amp;"."&amp;D70&amp;" IS '"&amp;C70&amp;"';"</f>
        <v>COMMENT ON COLUMN milscm_2023_010.azn_202310_base_merge_dpc_ff1.a004030_teieiyo_start_flag IS '低栄養の有無（算定開始時）';</v>
      </c>
      <c r="AT70" s="4"/>
      <c r="AU70" s="4"/>
      <c r="AV70" s="4"/>
      <c r="AW70" s="4"/>
      <c r="AX70" s="4"/>
      <c r="AY70" s="4"/>
      <c r="AZ70" s="4"/>
    </row>
    <row r="71" spans="1:52" s="25" customFormat="1" ht="31.5">
      <c r="A71" s="4"/>
      <c r="B71" s="21">
        <f t="shared" si="2"/>
        <v>59</v>
      </c>
      <c r="C71" s="6" t="s">
        <v>656</v>
      </c>
      <c r="D71" s="6" t="s">
        <v>657</v>
      </c>
      <c r="E71" s="8"/>
      <c r="F71" s="7" t="s">
        <v>318</v>
      </c>
      <c r="G71" s="7" t="str">
        <f t="shared" si="3"/>
        <v>text</v>
      </c>
      <c r="H71" s="26"/>
      <c r="I71" s="10"/>
      <c r="J71" s="11" t="s">
        <v>833</v>
      </c>
      <c r="L71" s="4"/>
      <c r="M71" s="4"/>
      <c r="N71" s="78"/>
      <c r="O71" s="78"/>
      <c r="P71" s="78" t="str">
        <f t="shared" si="7"/>
        <v>,a004030_sesshoku_shogai_start_flag</v>
      </c>
      <c r="Q71" s="78" t="str">
        <f t="shared" si="8"/>
        <v>TEXT</v>
      </c>
      <c r="R71" s="78" t="str">
        <f t="shared" si="9"/>
        <v/>
      </c>
      <c r="S71" s="78" t="str">
        <f t="shared" si="10"/>
        <v/>
      </c>
      <c r="T71" s="78" t="str">
        <f t="shared" si="11"/>
        <v>-- 摂食・嚥下機能障害の有無（算定開始時）</v>
      </c>
      <c r="U71" s="4"/>
      <c r="AA71" s="4"/>
      <c r="AB71" s="4"/>
      <c r="AC71" s="4"/>
      <c r="AD71" s="4"/>
      <c r="AE71" s="4"/>
      <c r="AF71" s="4"/>
      <c r="AG71" s="4"/>
      <c r="AH71" s="4"/>
      <c r="AI71" s="4"/>
      <c r="AJ71" s="78" t="str">
        <f>IF(E71="○",IF(COUNTA(E$13:E71)=1,"",",")&amp;D71,"")</f>
        <v/>
      </c>
      <c r="AK71" s="4"/>
      <c r="AL71" s="4"/>
      <c r="AM71" s="4"/>
      <c r="AN71" s="4"/>
      <c r="AO71" s="4"/>
      <c r="AP71" s="4"/>
      <c r="AQ71" s="4"/>
      <c r="AR71" s="4"/>
      <c r="AS71" s="78" t="str">
        <f>"COMMENT ON COLUMN "&amp;エンティティ一覧!$O$2&amp;"."&amp;D$8&amp;"."&amp;D71&amp;" IS '"&amp;C71&amp;"';"</f>
        <v>COMMENT ON COLUMN milscm_2023_010.azn_202310_base_merge_dpc_ff1.a004030_sesshoku_shogai_start_flag IS '摂食・嚥下機能障害の有無（算定開始時）';</v>
      </c>
      <c r="AT71" s="4"/>
      <c r="AU71" s="4"/>
      <c r="AV71" s="4"/>
      <c r="AW71" s="4"/>
      <c r="AX71" s="4"/>
      <c r="AY71" s="4"/>
      <c r="AZ71" s="4"/>
    </row>
    <row r="72" spans="1:52" s="25" customFormat="1">
      <c r="A72" s="4"/>
      <c r="B72" s="21">
        <f t="shared" si="2"/>
        <v>60</v>
      </c>
      <c r="C72" s="6" t="s">
        <v>658</v>
      </c>
      <c r="D72" s="6" t="s">
        <v>659</v>
      </c>
      <c r="E72" s="8"/>
      <c r="F72" s="7" t="s">
        <v>318</v>
      </c>
      <c r="G72" s="7" t="str">
        <f t="shared" si="3"/>
        <v>text</v>
      </c>
      <c r="H72" s="26"/>
      <c r="I72" s="10"/>
      <c r="J72" s="11" t="s">
        <v>833</v>
      </c>
      <c r="L72" s="4"/>
      <c r="M72" s="4"/>
      <c r="N72" s="78"/>
      <c r="O72" s="78"/>
      <c r="P72" s="78" t="str">
        <f t="shared" si="7"/>
        <v>,a004030_teieiyo_end_flag</v>
      </c>
      <c r="Q72" s="78" t="str">
        <f t="shared" si="8"/>
        <v>TEXT</v>
      </c>
      <c r="R72" s="78" t="str">
        <f t="shared" si="9"/>
        <v/>
      </c>
      <c r="S72" s="78" t="str">
        <f t="shared" si="10"/>
        <v/>
      </c>
      <c r="T72" s="78" t="str">
        <f t="shared" si="11"/>
        <v>-- 低栄養の有無（算定終了時）</v>
      </c>
      <c r="U72" s="4"/>
      <c r="AA72" s="4"/>
      <c r="AB72" s="4"/>
      <c r="AC72" s="4"/>
      <c r="AD72" s="4"/>
      <c r="AE72" s="4"/>
      <c r="AF72" s="4"/>
      <c r="AG72" s="4"/>
      <c r="AH72" s="4"/>
      <c r="AI72" s="4"/>
      <c r="AJ72" s="78" t="str">
        <f>IF(E72="○",IF(COUNTA(E$13:E72)=1,"",",")&amp;D72,"")</f>
        <v/>
      </c>
      <c r="AK72" s="4"/>
      <c r="AL72" s="4"/>
      <c r="AM72" s="4"/>
      <c r="AN72" s="4"/>
      <c r="AO72" s="4"/>
      <c r="AP72" s="4"/>
      <c r="AQ72" s="4"/>
      <c r="AR72" s="4"/>
      <c r="AS72" s="78" t="str">
        <f>"COMMENT ON COLUMN "&amp;エンティティ一覧!$O$2&amp;"."&amp;D$8&amp;"."&amp;D72&amp;" IS '"&amp;C72&amp;"';"</f>
        <v>COMMENT ON COLUMN milscm_2023_010.azn_202310_base_merge_dpc_ff1.a004030_teieiyo_end_flag IS '低栄養の有無（算定終了時）';</v>
      </c>
      <c r="AT72" s="4"/>
      <c r="AU72" s="4"/>
      <c r="AV72" s="4"/>
      <c r="AW72" s="4"/>
      <c r="AX72" s="4"/>
      <c r="AY72" s="4"/>
      <c r="AZ72" s="4"/>
    </row>
    <row r="73" spans="1:52" s="25" customFormat="1" ht="31.5">
      <c r="A73" s="4"/>
      <c r="B73" s="21">
        <f t="shared" si="2"/>
        <v>61</v>
      </c>
      <c r="C73" s="13" t="s">
        <v>660</v>
      </c>
      <c r="D73" s="13" t="s">
        <v>661</v>
      </c>
      <c r="E73" s="7"/>
      <c r="F73" s="7" t="s">
        <v>318</v>
      </c>
      <c r="G73" s="7" t="str">
        <f t="shared" si="3"/>
        <v>text</v>
      </c>
      <c r="H73" s="58"/>
      <c r="I73" s="23"/>
      <c r="J73" s="24" t="s">
        <v>833</v>
      </c>
      <c r="L73" s="4"/>
      <c r="M73" s="4"/>
      <c r="N73" s="78"/>
      <c r="O73" s="78"/>
      <c r="P73" s="78" t="str">
        <f t="shared" si="7"/>
        <v>,a004030_sesshoku_shogai_end_flag</v>
      </c>
      <c r="Q73" s="78" t="str">
        <f t="shared" si="8"/>
        <v>TEXT</v>
      </c>
      <c r="R73" s="78" t="str">
        <f t="shared" si="9"/>
        <v/>
      </c>
      <c r="S73" s="78" t="str">
        <f t="shared" si="10"/>
        <v/>
      </c>
      <c r="T73" s="78" t="str">
        <f t="shared" si="11"/>
        <v>-- 摂食・嚥下機能障害の有無（算定終了時）</v>
      </c>
      <c r="U73" s="4"/>
      <c r="AA73" s="4"/>
      <c r="AB73" s="4"/>
      <c r="AC73" s="4"/>
      <c r="AD73" s="4"/>
      <c r="AE73" s="4"/>
      <c r="AF73" s="4"/>
      <c r="AG73" s="4"/>
      <c r="AH73" s="4"/>
      <c r="AI73" s="4"/>
      <c r="AJ73" s="78" t="str">
        <f>IF(E73="○",IF(COUNTA(E$13:E73)=1,"",",")&amp;D73,"")</f>
        <v/>
      </c>
      <c r="AK73" s="4"/>
      <c r="AL73" s="4"/>
      <c r="AM73" s="4"/>
      <c r="AN73" s="4"/>
      <c r="AO73" s="4"/>
      <c r="AP73" s="4"/>
      <c r="AQ73" s="4"/>
      <c r="AR73" s="4"/>
      <c r="AS73" s="78" t="str">
        <f>"COMMENT ON COLUMN "&amp;エンティティ一覧!$O$2&amp;"."&amp;D$8&amp;"."&amp;D73&amp;" IS '"&amp;C73&amp;"';"</f>
        <v>COMMENT ON COLUMN milscm_2023_010.azn_202310_base_merge_dpc_ff1.a004030_sesshoku_shogai_end_flag IS '摂食・嚥下機能障害の有無（算定終了時）';</v>
      </c>
      <c r="AT73" s="4"/>
      <c r="AU73" s="4"/>
      <c r="AV73" s="4"/>
      <c r="AW73" s="4"/>
      <c r="AX73" s="4"/>
      <c r="AY73" s="4"/>
      <c r="AZ73" s="4"/>
    </row>
    <row r="74" spans="1:52" s="25" customFormat="1" ht="56.25">
      <c r="A74" s="4"/>
      <c r="B74" s="21">
        <f t="shared" si="2"/>
        <v>62</v>
      </c>
      <c r="C74" s="6" t="s">
        <v>662</v>
      </c>
      <c r="D74" s="6" t="s">
        <v>663</v>
      </c>
      <c r="E74" s="8"/>
      <c r="F74" s="7" t="s">
        <v>318</v>
      </c>
      <c r="G74" s="7" t="str">
        <f t="shared" si="3"/>
        <v>text</v>
      </c>
      <c r="H74" s="26"/>
      <c r="I74" s="10"/>
      <c r="J74" s="11" t="s">
        <v>834</v>
      </c>
      <c r="L74" s="4"/>
      <c r="M74" s="4"/>
      <c r="N74" s="78"/>
      <c r="O74" s="78"/>
      <c r="P74" s="78" t="str">
        <f t="shared" si="7"/>
        <v>,a004030_keikan_eiyou_start</v>
      </c>
      <c r="Q74" s="78" t="str">
        <f t="shared" si="8"/>
        <v>TEXT</v>
      </c>
      <c r="R74" s="78" t="str">
        <f t="shared" si="9"/>
        <v/>
      </c>
      <c r="S74" s="78" t="str">
        <f t="shared" si="10"/>
        <v/>
      </c>
      <c r="T74" s="78" t="str">
        <f t="shared" si="11"/>
        <v>-- 経管・経静脈栄養の状況（様式1 開始日時点）</v>
      </c>
      <c r="U74" s="4"/>
      <c r="AA74" s="4"/>
      <c r="AB74" s="4"/>
      <c r="AC74" s="4"/>
      <c r="AD74" s="4"/>
      <c r="AE74" s="4"/>
      <c r="AF74" s="4"/>
      <c r="AG74" s="4"/>
      <c r="AH74" s="4"/>
      <c r="AI74" s="4"/>
      <c r="AJ74" s="78" t="str">
        <f>IF(E74="○",IF(COUNTA(E$13:E74)=1,"",",")&amp;D74,"")</f>
        <v/>
      </c>
      <c r="AK74" s="4"/>
      <c r="AL74" s="4"/>
      <c r="AM74" s="4"/>
      <c r="AN74" s="4"/>
      <c r="AO74" s="4"/>
      <c r="AP74" s="4"/>
      <c r="AQ74" s="4"/>
      <c r="AR74" s="4"/>
      <c r="AS74" s="78" t="str">
        <f>"COMMENT ON COLUMN "&amp;エンティティ一覧!$O$2&amp;"."&amp;D$8&amp;"."&amp;D74&amp;" IS '"&amp;C74&amp;"';"</f>
        <v>COMMENT ON COLUMN milscm_2023_010.azn_202310_base_merge_dpc_ff1.a004030_keikan_eiyou_start IS '経管・経静脈栄養の状況（様式1 開始日時点）';</v>
      </c>
      <c r="AT74" s="4"/>
      <c r="AU74" s="4"/>
      <c r="AV74" s="4"/>
      <c r="AW74" s="4"/>
      <c r="AX74" s="4"/>
      <c r="AY74" s="4"/>
      <c r="AZ74" s="4"/>
    </row>
    <row r="75" spans="1:52" s="25" customFormat="1" ht="56.25">
      <c r="A75" s="4"/>
      <c r="B75" s="21">
        <f t="shared" si="2"/>
        <v>63</v>
      </c>
      <c r="C75" s="13" t="s">
        <v>664</v>
      </c>
      <c r="D75" s="13" t="s">
        <v>665</v>
      </c>
      <c r="E75" s="7"/>
      <c r="F75" s="7" t="s">
        <v>318</v>
      </c>
      <c r="G75" s="7" t="str">
        <f t="shared" si="3"/>
        <v>text</v>
      </c>
      <c r="H75" s="58"/>
      <c r="I75" s="23"/>
      <c r="J75" s="24" t="s">
        <v>834</v>
      </c>
      <c r="L75" s="4"/>
      <c r="M75" s="4"/>
      <c r="N75" s="78"/>
      <c r="O75" s="78"/>
      <c r="P75" s="78" t="str">
        <f t="shared" si="7"/>
        <v>,a004030_keikan_eiyou_end</v>
      </c>
      <c r="Q75" s="78" t="str">
        <f t="shared" si="8"/>
        <v>TEXT</v>
      </c>
      <c r="R75" s="78" t="str">
        <f t="shared" si="9"/>
        <v/>
      </c>
      <c r="S75" s="78" t="str">
        <f t="shared" si="10"/>
        <v/>
      </c>
      <c r="T75" s="78" t="str">
        <f t="shared" si="11"/>
        <v>-- 経管・経静脈栄養の状況（様式1 終了日時点）</v>
      </c>
      <c r="U75" s="4"/>
      <c r="AA75" s="4"/>
      <c r="AB75" s="4"/>
      <c r="AC75" s="4"/>
      <c r="AD75" s="4"/>
      <c r="AE75" s="4"/>
      <c r="AF75" s="4"/>
      <c r="AG75" s="4"/>
      <c r="AH75" s="4"/>
      <c r="AI75" s="4"/>
      <c r="AJ75" s="78" t="str">
        <f>IF(E75="○",IF(COUNTA(E$13:E75)=1,"",",")&amp;D75,"")</f>
        <v/>
      </c>
      <c r="AK75" s="4"/>
      <c r="AL75" s="4"/>
      <c r="AM75" s="4"/>
      <c r="AN75" s="4"/>
      <c r="AO75" s="4"/>
      <c r="AP75" s="4"/>
      <c r="AQ75" s="4"/>
      <c r="AR75" s="4"/>
      <c r="AS75" s="78" t="str">
        <f>"COMMENT ON COLUMN "&amp;エンティティ一覧!$O$2&amp;"."&amp;D$8&amp;"."&amp;D75&amp;" IS '"&amp;C75&amp;"';"</f>
        <v>COMMENT ON COLUMN milscm_2023_010.azn_202310_base_merge_dpc_ff1.a004030_keikan_eiyou_end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666</v>
      </c>
      <c r="D76" s="6" t="s">
        <v>667</v>
      </c>
      <c r="E76" s="8"/>
      <c r="F76" s="7" t="s">
        <v>318</v>
      </c>
      <c r="G76" s="7" t="str">
        <f t="shared" si="3"/>
        <v>text</v>
      </c>
      <c r="H76" s="26"/>
      <c r="I76" s="10"/>
      <c r="J76" s="11" t="s">
        <v>835</v>
      </c>
      <c r="L76" s="4"/>
      <c r="M76" s="4"/>
      <c r="N76" s="78"/>
      <c r="O76" s="78"/>
      <c r="P76" s="78" t="str">
        <f t="shared" si="7"/>
        <v>,a006010_icd10_code</v>
      </c>
      <c r="Q76" s="78" t="str">
        <f t="shared" si="8"/>
        <v>TEXT</v>
      </c>
      <c r="R76" s="78" t="str">
        <f t="shared" si="9"/>
        <v/>
      </c>
      <c r="S76" s="78" t="str">
        <f t="shared" si="10"/>
        <v/>
      </c>
      <c r="T76" s="78" t="str">
        <f t="shared" si="11"/>
        <v>-- ICD10コード</v>
      </c>
      <c r="U76" s="4"/>
      <c r="AA76" s="4"/>
      <c r="AB76" s="4"/>
      <c r="AC76" s="4"/>
      <c r="AD76" s="4"/>
      <c r="AE76" s="4"/>
      <c r="AF76" s="4"/>
      <c r="AG76" s="4"/>
      <c r="AH76" s="4"/>
      <c r="AI76" s="4"/>
      <c r="AJ76" s="78" t="str">
        <f>IF(E76="○",IF(COUNTA(E$13:E76)=1,"",",")&amp;D76,"")</f>
        <v/>
      </c>
      <c r="AK76" s="4"/>
      <c r="AL76" s="4"/>
      <c r="AM76" s="4"/>
      <c r="AN76" s="4"/>
      <c r="AO76" s="4"/>
      <c r="AP76" s="4"/>
      <c r="AQ76" s="4"/>
      <c r="AR76" s="4"/>
      <c r="AS76" s="78" t="str">
        <f>"COMMENT ON COLUMN "&amp;エンティティ一覧!$O$2&amp;"."&amp;D$8&amp;"."&amp;D76&amp;" IS '"&amp;C76&amp;"';"</f>
        <v>COMMENT ON COLUMN milscm_2023_010.azn_202310_base_merge_dpc_ff1.a006010_icd10_code IS 'ICD10コード';</v>
      </c>
      <c r="AT76" s="4"/>
      <c r="AU76" s="4"/>
      <c r="AV76" s="4"/>
      <c r="AW76" s="4"/>
      <c r="AX76" s="4"/>
      <c r="AY76" s="4"/>
      <c r="AZ76" s="4"/>
    </row>
    <row r="77" spans="1:52" s="25" customFormat="1">
      <c r="A77" s="4"/>
      <c r="B77" s="21">
        <f t="shared" si="2"/>
        <v>65</v>
      </c>
      <c r="C77" s="13" t="s">
        <v>668</v>
      </c>
      <c r="D77" s="13" t="s">
        <v>669</v>
      </c>
      <c r="E77" s="7"/>
      <c r="F77" s="7" t="s">
        <v>318</v>
      </c>
      <c r="G77" s="7" t="str">
        <f t="shared" si="3"/>
        <v>text</v>
      </c>
      <c r="H77" s="58"/>
      <c r="I77" s="23"/>
      <c r="J77" s="24"/>
      <c r="L77" s="4"/>
      <c r="M77" s="4"/>
      <c r="N77" s="78"/>
      <c r="O77" s="78"/>
      <c r="P77" s="78" t="str">
        <f t="shared" si="7"/>
        <v>,a006010_shobyo_code</v>
      </c>
      <c r="Q77" s="78" t="str">
        <f t="shared" si="8"/>
        <v>TEXT</v>
      </c>
      <c r="R77" s="78" t="str">
        <f t="shared" si="9"/>
        <v/>
      </c>
      <c r="S77" s="78" t="str">
        <f t="shared" si="10"/>
        <v/>
      </c>
      <c r="T77" s="78" t="str">
        <f t="shared" si="11"/>
        <v>-- 傷病名コード</v>
      </c>
      <c r="U77" s="4"/>
      <c r="AA77" s="4"/>
      <c r="AB77" s="4"/>
      <c r="AC77" s="4"/>
      <c r="AD77" s="4"/>
      <c r="AE77" s="4"/>
      <c r="AF77" s="4"/>
      <c r="AG77" s="4"/>
      <c r="AH77" s="4"/>
      <c r="AI77" s="4"/>
      <c r="AJ77" s="78" t="str">
        <f>IF(E77="○",IF(COUNTA(E$13:E77)=1,"",",")&amp;D77,"")</f>
        <v/>
      </c>
      <c r="AK77" s="4"/>
      <c r="AL77" s="4"/>
      <c r="AM77" s="4"/>
      <c r="AN77" s="4"/>
      <c r="AO77" s="4"/>
      <c r="AP77" s="4"/>
      <c r="AQ77" s="4"/>
      <c r="AR77" s="4"/>
      <c r="AS77" s="78" t="str">
        <f>"COMMENT ON COLUMN "&amp;エンティティ一覧!$O$2&amp;"."&amp;D$8&amp;"."&amp;D77&amp;" IS '"&amp;C77&amp;"';"</f>
        <v>COMMENT ON COLUMN milscm_2023_010.azn_202310_base_merge_dpc_ff1.a006010_shobyo_code IS '傷病名コード';</v>
      </c>
      <c r="AT77" s="4"/>
      <c r="AU77" s="4"/>
      <c r="AV77" s="4"/>
      <c r="AW77" s="4"/>
      <c r="AX77" s="4"/>
      <c r="AY77" s="4"/>
      <c r="AZ77" s="4"/>
    </row>
    <row r="78" spans="1:52" s="25" customFormat="1">
      <c r="A78" s="4"/>
      <c r="B78" s="21">
        <f t="shared" si="2"/>
        <v>66</v>
      </c>
      <c r="C78" s="6" t="s">
        <v>670</v>
      </c>
      <c r="D78" s="6" t="s">
        <v>671</v>
      </c>
      <c r="E78" s="8"/>
      <c r="F78" s="7" t="s">
        <v>318</v>
      </c>
      <c r="G78" s="7" t="str">
        <f t="shared" si="3"/>
        <v>text</v>
      </c>
      <c r="H78" s="26"/>
      <c r="I78" s="10"/>
      <c r="J78" s="11"/>
      <c r="L78" s="4"/>
      <c r="M78" s="4"/>
      <c r="N78" s="78"/>
      <c r="O78" s="78"/>
      <c r="P78" s="78" t="str">
        <f t="shared" si="7"/>
        <v>,a006010_shushoku_code1</v>
      </c>
      <c r="Q78" s="78" t="str">
        <f t="shared" si="8"/>
        <v>TEXT</v>
      </c>
      <c r="R78" s="78" t="str">
        <f t="shared" si="9"/>
        <v/>
      </c>
      <c r="S78" s="78" t="str">
        <f t="shared" si="10"/>
        <v/>
      </c>
      <c r="T78" s="78" t="str">
        <f t="shared" si="11"/>
        <v>-- 修飾語コード1</v>
      </c>
      <c r="U78" s="4"/>
      <c r="AA78" s="4"/>
      <c r="AB78" s="4"/>
      <c r="AC78" s="4"/>
      <c r="AD78" s="4"/>
      <c r="AE78" s="4"/>
      <c r="AF78" s="4"/>
      <c r="AG78" s="4"/>
      <c r="AH78" s="4"/>
      <c r="AI78" s="4"/>
      <c r="AJ78" s="78" t="str">
        <f>IF(E78="○",IF(COUNTA(E$13:E78)=1,"",",")&amp;D78,"")</f>
        <v/>
      </c>
      <c r="AK78" s="4"/>
      <c r="AL78" s="4"/>
      <c r="AM78" s="4"/>
      <c r="AN78" s="4"/>
      <c r="AO78" s="4"/>
      <c r="AP78" s="4"/>
      <c r="AQ78" s="4"/>
      <c r="AR78" s="4"/>
      <c r="AS78" s="78" t="str">
        <f>"COMMENT ON COLUMN "&amp;エンティティ一覧!$O$2&amp;"."&amp;D$8&amp;"."&amp;D78&amp;" IS '"&amp;C78&amp;"';"</f>
        <v>COMMENT ON COLUMN milscm_2023_010.azn_202310_base_merge_dpc_ff1.a006010_shushoku_code1 IS '修飾語コード1';</v>
      </c>
      <c r="AT78" s="4"/>
      <c r="AU78" s="4"/>
      <c r="AV78" s="4"/>
      <c r="AW78" s="4"/>
      <c r="AX78" s="4"/>
      <c r="AY78" s="4"/>
      <c r="AZ78" s="4"/>
    </row>
    <row r="79" spans="1:52" s="25" customFormat="1">
      <c r="A79" s="4"/>
      <c r="B79" s="21">
        <f t="shared" si="2"/>
        <v>67</v>
      </c>
      <c r="C79" s="13" t="s">
        <v>672</v>
      </c>
      <c r="D79" s="13" t="s">
        <v>673</v>
      </c>
      <c r="E79" s="7"/>
      <c r="F79" s="7" t="s">
        <v>318</v>
      </c>
      <c r="G79" s="7" t="str">
        <f t="shared" si="3"/>
        <v>text</v>
      </c>
      <c r="H79" s="58"/>
      <c r="I79" s="23"/>
      <c r="J79" s="24"/>
      <c r="L79" s="4"/>
      <c r="M79" s="4"/>
      <c r="N79" s="78"/>
      <c r="O79" s="78"/>
      <c r="P79" s="78" t="str">
        <f t="shared" si="7"/>
        <v>,a006010_shushoku_code2</v>
      </c>
      <c r="Q79" s="78" t="str">
        <f t="shared" si="8"/>
        <v>TEXT</v>
      </c>
      <c r="R79" s="78" t="str">
        <f t="shared" si="9"/>
        <v/>
      </c>
      <c r="S79" s="78" t="str">
        <f t="shared" si="10"/>
        <v/>
      </c>
      <c r="T79" s="78" t="str">
        <f t="shared" si="11"/>
        <v>-- 修飾語コード2</v>
      </c>
      <c r="U79" s="4"/>
      <c r="AA79" s="4"/>
      <c r="AB79" s="4"/>
      <c r="AC79" s="4"/>
      <c r="AD79" s="4"/>
      <c r="AE79" s="4"/>
      <c r="AF79" s="4"/>
      <c r="AG79" s="4"/>
      <c r="AH79" s="4"/>
      <c r="AI79" s="4"/>
      <c r="AJ79" s="78" t="str">
        <f>IF(E79="○",IF(COUNTA(E$13:E79)=1,"",",")&amp;D79,"")</f>
        <v/>
      </c>
      <c r="AK79" s="4"/>
      <c r="AL79" s="4"/>
      <c r="AM79" s="4"/>
      <c r="AN79" s="4"/>
      <c r="AO79" s="4"/>
      <c r="AP79" s="4"/>
      <c r="AQ79" s="4"/>
      <c r="AR79" s="4"/>
      <c r="AS79" s="78" t="str">
        <f>"COMMENT ON COLUMN "&amp;エンティティ一覧!$O$2&amp;"."&amp;D$8&amp;"."&amp;D79&amp;" IS '"&amp;C79&amp;"';"</f>
        <v>COMMENT ON COLUMN milscm_2023_010.azn_202310_base_merge_dpc_ff1.a006010_shushoku_code2 IS '修飾語コード2';</v>
      </c>
      <c r="AT79" s="4"/>
      <c r="AU79" s="4"/>
      <c r="AV79" s="4"/>
      <c r="AW79" s="4"/>
      <c r="AX79" s="4"/>
      <c r="AY79" s="4"/>
      <c r="AZ79" s="4"/>
    </row>
    <row r="80" spans="1:52" s="25" customFormat="1">
      <c r="A80" s="4"/>
      <c r="B80" s="21">
        <f t="shared" si="2"/>
        <v>68</v>
      </c>
      <c r="C80" s="6" t="s">
        <v>674</v>
      </c>
      <c r="D80" s="6" t="s">
        <v>675</v>
      </c>
      <c r="E80" s="8"/>
      <c r="F80" s="7" t="s">
        <v>318</v>
      </c>
      <c r="G80" s="7" t="str">
        <f t="shared" si="3"/>
        <v>text</v>
      </c>
      <c r="H80" s="26"/>
      <c r="I80" s="10"/>
      <c r="J80" s="11"/>
      <c r="L80" s="4"/>
      <c r="M80" s="4"/>
      <c r="N80" s="78"/>
      <c r="O80" s="78"/>
      <c r="P80" s="78" t="str">
        <f t="shared" si="7"/>
        <v>,a006010_shushoku_code3</v>
      </c>
      <c r="Q80" s="78" t="str">
        <f t="shared" si="8"/>
        <v>TEXT</v>
      </c>
      <c r="R80" s="78" t="str">
        <f t="shared" si="9"/>
        <v/>
      </c>
      <c r="S80" s="78" t="str">
        <f t="shared" si="10"/>
        <v/>
      </c>
      <c r="T80" s="78" t="str">
        <f t="shared" si="11"/>
        <v>-- 修飾語コード3</v>
      </c>
      <c r="U80" s="4"/>
      <c r="AA80" s="4"/>
      <c r="AB80" s="4"/>
      <c r="AC80" s="4"/>
      <c r="AD80" s="4"/>
      <c r="AE80" s="4"/>
      <c r="AF80" s="4"/>
      <c r="AG80" s="4"/>
      <c r="AH80" s="4"/>
      <c r="AI80" s="4"/>
      <c r="AJ80" s="78" t="str">
        <f>IF(E80="○",IF(COUNTA(E$13:E80)=1,"",",")&amp;D80,"")</f>
        <v/>
      </c>
      <c r="AK80" s="4"/>
      <c r="AL80" s="4"/>
      <c r="AM80" s="4"/>
      <c r="AN80" s="4"/>
      <c r="AO80" s="4"/>
      <c r="AP80" s="4"/>
      <c r="AQ80" s="4"/>
      <c r="AR80" s="4"/>
      <c r="AS80" s="78" t="str">
        <f>"COMMENT ON COLUMN "&amp;エンティティ一覧!$O$2&amp;"."&amp;D$8&amp;"."&amp;D80&amp;" IS '"&amp;C80&amp;"';"</f>
        <v>COMMENT ON COLUMN milscm_2023_010.azn_202310_base_merge_dpc_ff1.a006010_shushoku_code3 IS '修飾語コード3';</v>
      </c>
      <c r="AT80" s="4"/>
      <c r="AU80" s="4"/>
      <c r="AV80" s="4"/>
      <c r="AW80" s="4"/>
      <c r="AX80" s="4"/>
      <c r="AY80" s="4"/>
      <c r="AZ80" s="4"/>
    </row>
    <row r="81" spans="1:52" s="25" customFormat="1">
      <c r="A81" s="4"/>
      <c r="B81" s="21">
        <f t="shared" si="2"/>
        <v>69</v>
      </c>
      <c r="C81" s="13" t="s">
        <v>676</v>
      </c>
      <c r="D81" s="13" t="s">
        <v>677</v>
      </c>
      <c r="E81" s="7"/>
      <c r="F81" s="7" t="s">
        <v>318</v>
      </c>
      <c r="G81" s="7" t="str">
        <f t="shared" si="3"/>
        <v>text</v>
      </c>
      <c r="H81" s="58"/>
      <c r="I81" s="23"/>
      <c r="J81" s="24"/>
      <c r="L81" s="4"/>
      <c r="M81" s="4"/>
      <c r="N81" s="78"/>
      <c r="O81" s="78"/>
      <c r="P81" s="78" t="str">
        <f t="shared" si="7"/>
        <v>,a006010_shushoku_code4</v>
      </c>
      <c r="Q81" s="78" t="str">
        <f t="shared" si="8"/>
        <v>TEXT</v>
      </c>
      <c r="R81" s="78" t="str">
        <f t="shared" si="9"/>
        <v/>
      </c>
      <c r="S81" s="78" t="str">
        <f t="shared" si="10"/>
        <v/>
      </c>
      <c r="T81" s="78" t="str">
        <f t="shared" si="11"/>
        <v>-- 修飾語コード4</v>
      </c>
      <c r="U81" s="4"/>
      <c r="AA81" s="4"/>
      <c r="AB81" s="4"/>
      <c r="AC81" s="4"/>
      <c r="AD81" s="4"/>
      <c r="AE81" s="4"/>
      <c r="AF81" s="4"/>
      <c r="AG81" s="4"/>
      <c r="AH81" s="4"/>
      <c r="AI81" s="4"/>
      <c r="AJ81" s="78" t="str">
        <f>IF(E81="○",IF(COUNTA(E$13:E81)=1,"",",")&amp;D81,"")</f>
        <v/>
      </c>
      <c r="AK81" s="4"/>
      <c r="AL81" s="4"/>
      <c r="AM81" s="4"/>
      <c r="AN81" s="4"/>
      <c r="AO81" s="4"/>
      <c r="AP81" s="4"/>
      <c r="AQ81" s="4"/>
      <c r="AR81" s="4"/>
      <c r="AS81" s="78" t="str">
        <f>"COMMENT ON COLUMN "&amp;エンティティ一覧!$O$2&amp;"."&amp;D$8&amp;"."&amp;D81&amp;" IS '"&amp;C81&amp;"';"</f>
        <v>COMMENT ON COLUMN milscm_2023_010.azn_202310_base_merge_dpc_ff1.a006010_shushoku_code4 IS '修飾語コード4';</v>
      </c>
      <c r="AT81" s="4"/>
      <c r="AU81" s="4"/>
      <c r="AV81" s="4"/>
      <c r="AW81" s="4"/>
      <c r="AX81" s="4"/>
      <c r="AY81" s="4"/>
      <c r="AZ81" s="4"/>
    </row>
    <row r="82" spans="1:52" s="25" customFormat="1" ht="31.5">
      <c r="A82" s="4"/>
      <c r="B82" s="21">
        <f t="shared" si="2"/>
        <v>70</v>
      </c>
      <c r="C82" s="13" t="s">
        <v>678</v>
      </c>
      <c r="D82" s="13" t="s">
        <v>679</v>
      </c>
      <c r="E82" s="7"/>
      <c r="F82" s="7" t="s">
        <v>318</v>
      </c>
      <c r="G82" s="7" t="str">
        <f t="shared" si="3"/>
        <v>text</v>
      </c>
      <c r="H82" s="58"/>
      <c r="I82" s="23"/>
      <c r="J82" s="24" t="s">
        <v>836</v>
      </c>
      <c r="L82" s="4"/>
      <c r="M82" s="4"/>
      <c r="N82" s="78"/>
      <c r="O82" s="78"/>
      <c r="P82" s="78" t="str">
        <f t="shared" si="7"/>
        <v>,a006010_main_shobyo_name</v>
      </c>
      <c r="Q82" s="78" t="str">
        <f t="shared" si="8"/>
        <v>TEXT</v>
      </c>
      <c r="R82" s="78" t="str">
        <f t="shared" si="9"/>
        <v/>
      </c>
      <c r="S82" s="78" t="str">
        <f t="shared" si="10"/>
        <v/>
      </c>
      <c r="T82" s="78" t="str">
        <f t="shared" si="11"/>
        <v>-- 主傷病名</v>
      </c>
      <c r="U82" s="4"/>
      <c r="AA82" s="4"/>
      <c r="AB82" s="4"/>
      <c r="AC82" s="4"/>
      <c r="AD82" s="4"/>
      <c r="AE82" s="4"/>
      <c r="AF82" s="4"/>
      <c r="AG82" s="4"/>
      <c r="AH82" s="4"/>
      <c r="AI82" s="4"/>
      <c r="AJ82" s="78" t="str">
        <f>IF(E82="○",IF(COUNTA(E$13:E82)=1,"",",")&amp;D82,"")</f>
        <v/>
      </c>
      <c r="AK82" s="4"/>
      <c r="AL82" s="4"/>
      <c r="AM82" s="4"/>
      <c r="AN82" s="4"/>
      <c r="AO82" s="4"/>
      <c r="AP82" s="4"/>
      <c r="AQ82" s="4"/>
      <c r="AR82" s="4"/>
      <c r="AS82" s="78" t="str">
        <f>"COMMENT ON COLUMN "&amp;エンティティ一覧!$O$2&amp;"."&amp;D$8&amp;"."&amp;D82&amp;" IS '"&amp;C82&amp;"';"</f>
        <v>COMMENT ON COLUMN milscm_2023_010.azn_202310_base_merge_dpc_ff1.a006010_main_shobyo_name IS '主傷病名';</v>
      </c>
      <c r="AT82" s="4"/>
      <c r="AU82" s="4"/>
      <c r="AV82" s="4"/>
      <c r="AW82" s="4"/>
      <c r="AX82" s="4"/>
      <c r="AY82" s="4"/>
      <c r="AZ82" s="4"/>
    </row>
    <row r="83" spans="1:52" s="25" customFormat="1">
      <c r="A83" s="4"/>
      <c r="B83" s="21">
        <f t="shared" si="2"/>
        <v>71</v>
      </c>
      <c r="C83" s="13" t="s">
        <v>666</v>
      </c>
      <c r="D83" s="13" t="s">
        <v>680</v>
      </c>
      <c r="E83" s="7"/>
      <c r="F83" s="7" t="s">
        <v>318</v>
      </c>
      <c r="G83" s="7" t="str">
        <f t="shared" si="3"/>
        <v>text</v>
      </c>
      <c r="H83" s="26"/>
      <c r="I83" s="10"/>
      <c r="J83" s="11" t="s">
        <v>837</v>
      </c>
      <c r="L83" s="4"/>
      <c r="M83" s="4"/>
      <c r="N83" s="78"/>
      <c r="O83" s="78"/>
      <c r="P83" s="78" t="str">
        <f t="shared" si="7"/>
        <v>,a006020_icd10_code</v>
      </c>
      <c r="Q83" s="78" t="str">
        <f t="shared" si="8"/>
        <v>TEXT</v>
      </c>
      <c r="R83" s="78" t="str">
        <f t="shared" si="9"/>
        <v/>
      </c>
      <c r="S83" s="78" t="str">
        <f t="shared" si="10"/>
        <v/>
      </c>
      <c r="T83" s="78" t="str">
        <f t="shared" si="11"/>
        <v>-- ICD10コード</v>
      </c>
      <c r="U83" s="4"/>
      <c r="AA83" s="4"/>
      <c r="AB83" s="4"/>
      <c r="AC83" s="4"/>
      <c r="AD83" s="4"/>
      <c r="AE83" s="4"/>
      <c r="AF83" s="4"/>
      <c r="AG83" s="4"/>
      <c r="AH83" s="4"/>
      <c r="AI83" s="4"/>
      <c r="AJ83" s="78" t="str">
        <f>IF(E83="○",IF(COUNTA(E$13:E83)=1,"",",")&amp;D83,"")</f>
        <v/>
      </c>
      <c r="AK83" s="4"/>
      <c r="AL83" s="4"/>
      <c r="AM83" s="4"/>
      <c r="AN83" s="4"/>
      <c r="AO83" s="4"/>
      <c r="AP83" s="4"/>
      <c r="AQ83" s="4"/>
      <c r="AR83" s="4"/>
      <c r="AS83" s="78" t="str">
        <f>"COMMENT ON COLUMN "&amp;エンティティ一覧!$O$2&amp;"."&amp;D$8&amp;"."&amp;D83&amp;" IS '"&amp;C83&amp;"';"</f>
        <v>COMMENT ON COLUMN milscm_2023_010.azn_202310_base_merge_dpc_ff1.a006020_icd10_code IS 'ICD10コード';</v>
      </c>
      <c r="AT83" s="4"/>
      <c r="AU83" s="4"/>
      <c r="AV83" s="4"/>
      <c r="AW83" s="4"/>
      <c r="AX83" s="4"/>
      <c r="AY83" s="4"/>
      <c r="AZ83" s="4"/>
    </row>
    <row r="84" spans="1:52" s="25" customFormat="1">
      <c r="A84" s="4"/>
      <c r="B84" s="21">
        <f t="shared" si="2"/>
        <v>72</v>
      </c>
      <c r="C84" s="6" t="s">
        <v>668</v>
      </c>
      <c r="D84" s="6" t="s">
        <v>681</v>
      </c>
      <c r="E84" s="8"/>
      <c r="F84" s="7" t="s">
        <v>318</v>
      </c>
      <c r="G84" s="7" t="str">
        <f t="shared" si="3"/>
        <v>text</v>
      </c>
      <c r="H84" s="26"/>
      <c r="I84" s="10"/>
      <c r="J84" s="11"/>
      <c r="L84" s="4"/>
      <c r="M84" s="4"/>
      <c r="N84" s="78"/>
      <c r="O84" s="78"/>
      <c r="P84" s="78" t="str">
        <f t="shared" si="7"/>
        <v>,a006020_shobyo_code</v>
      </c>
      <c r="Q84" s="78" t="str">
        <f t="shared" si="8"/>
        <v>TEXT</v>
      </c>
      <c r="R84" s="78" t="str">
        <f t="shared" si="9"/>
        <v/>
      </c>
      <c r="S84" s="78" t="str">
        <f t="shared" si="10"/>
        <v/>
      </c>
      <c r="T84" s="78" t="str">
        <f t="shared" si="11"/>
        <v>-- 傷病名コード</v>
      </c>
      <c r="U84" s="4"/>
      <c r="AA84" s="4"/>
      <c r="AB84" s="4"/>
      <c r="AC84" s="4"/>
      <c r="AD84" s="4"/>
      <c r="AE84" s="4"/>
      <c r="AF84" s="4"/>
      <c r="AG84" s="4"/>
      <c r="AH84" s="4"/>
      <c r="AI84" s="4"/>
      <c r="AJ84" s="78" t="str">
        <f>IF(E84="○",IF(COUNTA(E$13:E84)=1,"",",")&amp;D84,"")</f>
        <v/>
      </c>
      <c r="AK84" s="4"/>
      <c r="AL84" s="4"/>
      <c r="AM84" s="4"/>
      <c r="AN84" s="4"/>
      <c r="AO84" s="4"/>
      <c r="AP84" s="4"/>
      <c r="AQ84" s="4"/>
      <c r="AR84" s="4"/>
      <c r="AS84" s="78" t="str">
        <f>"COMMENT ON COLUMN "&amp;エンティティ一覧!$O$2&amp;"."&amp;D$8&amp;"."&amp;D84&amp;" IS '"&amp;C84&amp;"';"</f>
        <v>COMMENT ON COLUMN milscm_2023_010.azn_202310_base_merge_dpc_ff1.a006020_shobyo_code IS '傷病名コード';</v>
      </c>
      <c r="AT84" s="4"/>
      <c r="AU84" s="4"/>
      <c r="AV84" s="4"/>
      <c r="AW84" s="4"/>
      <c r="AX84" s="4"/>
      <c r="AY84" s="4"/>
      <c r="AZ84" s="4"/>
    </row>
    <row r="85" spans="1:52" s="25" customFormat="1">
      <c r="A85" s="4"/>
      <c r="B85" s="21">
        <f t="shared" si="2"/>
        <v>73</v>
      </c>
      <c r="C85" s="13" t="s">
        <v>670</v>
      </c>
      <c r="D85" s="13" t="s">
        <v>682</v>
      </c>
      <c r="E85" s="7"/>
      <c r="F85" s="7" t="s">
        <v>318</v>
      </c>
      <c r="G85" s="7" t="str">
        <f t="shared" si="3"/>
        <v>text</v>
      </c>
      <c r="H85" s="58"/>
      <c r="I85" s="23"/>
      <c r="J85" s="24"/>
      <c r="L85" s="4"/>
      <c r="M85" s="4"/>
      <c r="N85" s="78"/>
      <c r="O85" s="78"/>
      <c r="P85" s="78" t="str">
        <f t="shared" si="7"/>
        <v>,a006020_shushoku_code1</v>
      </c>
      <c r="Q85" s="78" t="str">
        <f t="shared" si="8"/>
        <v>TEXT</v>
      </c>
      <c r="R85" s="78" t="str">
        <f t="shared" si="9"/>
        <v/>
      </c>
      <c r="S85" s="78" t="str">
        <f t="shared" si="10"/>
        <v/>
      </c>
      <c r="T85" s="78" t="str">
        <f t="shared" si="11"/>
        <v>-- 修飾語コード1</v>
      </c>
      <c r="U85" s="4"/>
      <c r="AA85" s="4"/>
      <c r="AB85" s="4"/>
      <c r="AC85" s="4"/>
      <c r="AD85" s="4"/>
      <c r="AE85" s="4"/>
      <c r="AF85" s="4"/>
      <c r="AG85" s="4"/>
      <c r="AH85" s="4"/>
      <c r="AI85" s="4"/>
      <c r="AJ85" s="78" t="str">
        <f>IF(E85="○",IF(COUNTA(E$13:E85)=1,"",",")&amp;D85,"")</f>
        <v/>
      </c>
      <c r="AK85" s="4"/>
      <c r="AL85" s="4"/>
      <c r="AM85" s="4"/>
      <c r="AN85" s="4"/>
      <c r="AO85" s="4"/>
      <c r="AP85" s="4"/>
      <c r="AQ85" s="4"/>
      <c r="AR85" s="4"/>
      <c r="AS85" s="78" t="str">
        <f>"COMMENT ON COLUMN "&amp;エンティティ一覧!$O$2&amp;"."&amp;D$8&amp;"."&amp;D85&amp;" IS '"&amp;C85&amp;"';"</f>
        <v>COMMENT ON COLUMN milscm_2023_010.azn_202310_base_merge_dpc_ff1.a006020_shushoku_code1 IS '修飾語コード1';</v>
      </c>
      <c r="AT85" s="4"/>
      <c r="AU85" s="4"/>
      <c r="AV85" s="4"/>
      <c r="AW85" s="4"/>
      <c r="AX85" s="4"/>
      <c r="AY85" s="4"/>
      <c r="AZ85" s="4"/>
    </row>
    <row r="86" spans="1:52" s="25" customFormat="1">
      <c r="A86" s="4"/>
      <c r="B86" s="21">
        <f t="shared" si="2"/>
        <v>74</v>
      </c>
      <c r="C86" s="6" t="s">
        <v>672</v>
      </c>
      <c r="D86" s="6" t="s">
        <v>683</v>
      </c>
      <c r="E86" s="8"/>
      <c r="F86" s="7" t="s">
        <v>318</v>
      </c>
      <c r="G86" s="7" t="str">
        <f t="shared" si="3"/>
        <v>text</v>
      </c>
      <c r="H86" s="26"/>
      <c r="I86" s="10"/>
      <c r="J86" s="11"/>
      <c r="L86" s="4"/>
      <c r="M86" s="4"/>
      <c r="N86" s="78"/>
      <c r="O86" s="78"/>
      <c r="P86" s="78" t="str">
        <f t="shared" si="7"/>
        <v>,a006020_shushoku_code2</v>
      </c>
      <c r="Q86" s="78" t="str">
        <f t="shared" si="8"/>
        <v>TEXT</v>
      </c>
      <c r="R86" s="78" t="str">
        <f t="shared" si="9"/>
        <v/>
      </c>
      <c r="S86" s="78" t="str">
        <f t="shared" si="10"/>
        <v/>
      </c>
      <c r="T86" s="78" t="str">
        <f t="shared" si="11"/>
        <v>-- 修飾語コード2</v>
      </c>
      <c r="U86" s="4"/>
      <c r="AA86" s="4"/>
      <c r="AB86" s="4"/>
      <c r="AC86" s="4"/>
      <c r="AD86" s="4"/>
      <c r="AE86" s="4"/>
      <c r="AF86" s="4"/>
      <c r="AG86" s="4"/>
      <c r="AH86" s="4"/>
      <c r="AI86" s="4"/>
      <c r="AJ86" s="78" t="str">
        <f>IF(E86="○",IF(COUNTA(E$13:E86)=1,"",",")&amp;D86,"")</f>
        <v/>
      </c>
      <c r="AK86" s="4"/>
      <c r="AL86" s="4"/>
      <c r="AM86" s="4"/>
      <c r="AN86" s="4"/>
      <c r="AO86" s="4"/>
      <c r="AP86" s="4"/>
      <c r="AQ86" s="4"/>
      <c r="AR86" s="4"/>
      <c r="AS86" s="78" t="str">
        <f>"COMMENT ON COLUMN "&amp;エンティティ一覧!$O$2&amp;"."&amp;D$8&amp;"."&amp;D86&amp;" IS '"&amp;C86&amp;"';"</f>
        <v>COMMENT ON COLUMN milscm_2023_010.azn_202310_base_merge_dpc_ff1.a006020_shushoku_code2 IS '修飾語コード2';</v>
      </c>
      <c r="AT86" s="4"/>
      <c r="AU86" s="4"/>
      <c r="AV86" s="4"/>
      <c r="AW86" s="4"/>
      <c r="AX86" s="4"/>
      <c r="AY86" s="4"/>
      <c r="AZ86" s="4"/>
    </row>
    <row r="87" spans="1:52" s="25" customFormat="1">
      <c r="A87" s="4"/>
      <c r="B87" s="21">
        <f t="shared" si="2"/>
        <v>75</v>
      </c>
      <c r="C87" s="13" t="s">
        <v>674</v>
      </c>
      <c r="D87" s="13" t="s">
        <v>684</v>
      </c>
      <c r="E87" s="7"/>
      <c r="F87" s="7" t="s">
        <v>318</v>
      </c>
      <c r="G87" s="7" t="str">
        <f t="shared" si="3"/>
        <v>text</v>
      </c>
      <c r="H87" s="58"/>
      <c r="I87" s="23"/>
      <c r="J87" s="24"/>
      <c r="L87" s="4"/>
      <c r="M87" s="4"/>
      <c r="N87" s="78"/>
      <c r="O87" s="78"/>
      <c r="P87" s="78" t="str">
        <f t="shared" si="7"/>
        <v>,a006020_shushoku_code3</v>
      </c>
      <c r="Q87" s="78" t="str">
        <f t="shared" si="8"/>
        <v>TEXT</v>
      </c>
      <c r="R87" s="78" t="str">
        <f t="shared" si="9"/>
        <v/>
      </c>
      <c r="S87" s="78" t="str">
        <f t="shared" si="10"/>
        <v/>
      </c>
      <c r="T87" s="78" t="str">
        <f t="shared" si="11"/>
        <v>-- 修飾語コード3</v>
      </c>
      <c r="U87" s="4"/>
      <c r="AA87" s="4"/>
      <c r="AB87" s="4"/>
      <c r="AC87" s="4"/>
      <c r="AD87" s="4"/>
      <c r="AE87" s="4"/>
      <c r="AF87" s="4"/>
      <c r="AG87" s="4"/>
      <c r="AH87" s="4"/>
      <c r="AI87" s="4"/>
      <c r="AJ87" s="78" t="str">
        <f>IF(E87="○",IF(COUNTA(E$13:E87)=1,"",",")&amp;D87,"")</f>
        <v/>
      </c>
      <c r="AK87" s="4"/>
      <c r="AL87" s="4"/>
      <c r="AM87" s="4"/>
      <c r="AN87" s="4"/>
      <c r="AO87" s="4"/>
      <c r="AP87" s="4"/>
      <c r="AQ87" s="4"/>
      <c r="AR87" s="4"/>
      <c r="AS87" s="78" t="str">
        <f>"COMMENT ON COLUMN "&amp;エンティティ一覧!$O$2&amp;"."&amp;D$8&amp;"."&amp;D87&amp;" IS '"&amp;C87&amp;"';"</f>
        <v>COMMENT ON COLUMN milscm_2023_010.azn_202310_base_merge_dpc_ff1.a006020_shushoku_code3 IS '修飾語コード3';</v>
      </c>
      <c r="AT87" s="4"/>
      <c r="AU87" s="4"/>
      <c r="AV87" s="4"/>
      <c r="AW87" s="4"/>
      <c r="AX87" s="4"/>
      <c r="AY87" s="4"/>
      <c r="AZ87" s="4"/>
    </row>
    <row r="88" spans="1:52" s="25" customFormat="1">
      <c r="A88" s="4"/>
      <c r="B88" s="21">
        <f t="shared" si="2"/>
        <v>76</v>
      </c>
      <c r="C88" s="6" t="s">
        <v>676</v>
      </c>
      <c r="D88" s="6" t="s">
        <v>685</v>
      </c>
      <c r="E88" s="8"/>
      <c r="F88" s="7" t="s">
        <v>318</v>
      </c>
      <c r="G88" s="7" t="str">
        <f t="shared" si="3"/>
        <v>text</v>
      </c>
      <c r="H88" s="26"/>
      <c r="I88" s="10"/>
      <c r="J88" s="11"/>
      <c r="L88" s="4"/>
      <c r="M88" s="4"/>
      <c r="N88" s="78"/>
      <c r="O88" s="78"/>
      <c r="P88" s="78" t="str">
        <f t="shared" si="7"/>
        <v>,a006020_shushoku_code4</v>
      </c>
      <c r="Q88" s="78" t="str">
        <f t="shared" si="8"/>
        <v>TEXT</v>
      </c>
      <c r="R88" s="78" t="str">
        <f t="shared" si="9"/>
        <v/>
      </c>
      <c r="S88" s="78" t="str">
        <f t="shared" si="10"/>
        <v/>
      </c>
      <c r="T88" s="78" t="str">
        <f t="shared" si="11"/>
        <v>-- 修飾語コード4</v>
      </c>
      <c r="U88" s="4"/>
      <c r="AA88" s="4"/>
      <c r="AB88" s="4"/>
      <c r="AC88" s="4"/>
      <c r="AD88" s="4"/>
      <c r="AE88" s="4"/>
      <c r="AF88" s="4"/>
      <c r="AG88" s="4"/>
      <c r="AH88" s="4"/>
      <c r="AI88" s="4"/>
      <c r="AJ88" s="78" t="str">
        <f>IF(E88="○",IF(COUNTA(E$13:E88)=1,"",",")&amp;D88,"")</f>
        <v/>
      </c>
      <c r="AK88" s="4"/>
      <c r="AL88" s="4"/>
      <c r="AM88" s="4"/>
      <c r="AN88" s="4"/>
      <c r="AO88" s="4"/>
      <c r="AP88" s="4"/>
      <c r="AQ88" s="4"/>
      <c r="AR88" s="4"/>
      <c r="AS88" s="78" t="str">
        <f>"COMMENT ON COLUMN "&amp;エンティティ一覧!$O$2&amp;"."&amp;D$8&amp;"."&amp;D88&amp;" IS '"&amp;C88&amp;"';"</f>
        <v>COMMENT ON COLUMN milscm_2023_010.azn_202310_base_merge_dpc_ff1.a006020_shushoku_code4 IS '修飾語コード4';</v>
      </c>
      <c r="AT88" s="4"/>
      <c r="AU88" s="4"/>
      <c r="AV88" s="4"/>
      <c r="AW88" s="4"/>
      <c r="AX88" s="4"/>
      <c r="AY88" s="4"/>
      <c r="AZ88" s="4"/>
    </row>
    <row r="89" spans="1:52" s="25" customFormat="1" ht="31.5">
      <c r="A89" s="4"/>
      <c r="B89" s="21">
        <f t="shared" si="2"/>
        <v>77</v>
      </c>
      <c r="C89" s="6" t="s">
        <v>686</v>
      </c>
      <c r="D89" s="6" t="s">
        <v>687</v>
      </c>
      <c r="E89" s="8"/>
      <c r="F89" s="7" t="s">
        <v>318</v>
      </c>
      <c r="G89" s="7" t="str">
        <f t="shared" si="3"/>
        <v>text</v>
      </c>
      <c r="H89" s="58"/>
      <c r="I89" s="23"/>
      <c r="J89" s="24" t="s">
        <v>686</v>
      </c>
      <c r="L89" s="4"/>
      <c r="M89" s="4"/>
      <c r="N89" s="78"/>
      <c r="O89" s="78"/>
      <c r="P89" s="78" t="str">
        <f t="shared" si="7"/>
        <v>,a006020_nyuin_shobyo_name</v>
      </c>
      <c r="Q89" s="78" t="str">
        <f t="shared" si="8"/>
        <v>TEXT</v>
      </c>
      <c r="R89" s="78" t="str">
        <f t="shared" si="9"/>
        <v/>
      </c>
      <c r="S89" s="78" t="str">
        <f t="shared" si="10"/>
        <v/>
      </c>
      <c r="T89" s="78" t="str">
        <f t="shared" si="11"/>
        <v>-- 入院の契機となった傷病名</v>
      </c>
      <c r="U89" s="4"/>
      <c r="AA89" s="4"/>
      <c r="AB89" s="4"/>
      <c r="AC89" s="4"/>
      <c r="AD89" s="4"/>
      <c r="AE89" s="4"/>
      <c r="AF89" s="4"/>
      <c r="AG89" s="4"/>
      <c r="AH89" s="4"/>
      <c r="AI89" s="4"/>
      <c r="AJ89" s="78" t="str">
        <f>IF(E89="○",IF(COUNTA(E$13:E89)=1,"",",")&amp;D89,"")</f>
        <v/>
      </c>
      <c r="AK89" s="4"/>
      <c r="AL89" s="4"/>
      <c r="AM89" s="4"/>
      <c r="AN89" s="4"/>
      <c r="AO89" s="4"/>
      <c r="AP89" s="4"/>
      <c r="AQ89" s="4"/>
      <c r="AR89" s="4"/>
      <c r="AS89" s="78" t="str">
        <f>"COMMENT ON COLUMN "&amp;エンティティ一覧!$O$2&amp;"."&amp;D$8&amp;"."&amp;D89&amp;" IS '"&amp;C89&amp;"';"</f>
        <v>COMMENT ON COLUMN milscm_2023_010.azn_202310_base_merge_dpc_ff1.a006020_nyuin_shobyo_name IS '入院の契機となった傷病名';</v>
      </c>
      <c r="AT89" s="4"/>
      <c r="AU89" s="4"/>
      <c r="AV89" s="4"/>
      <c r="AW89" s="4"/>
      <c r="AX89" s="4"/>
      <c r="AY89" s="4"/>
      <c r="AZ89" s="4"/>
    </row>
    <row r="90" spans="1:52" s="25" customFormat="1" ht="37.5">
      <c r="A90" s="4"/>
      <c r="B90" s="21">
        <f t="shared" si="2"/>
        <v>78</v>
      </c>
      <c r="C90" s="13" t="s">
        <v>666</v>
      </c>
      <c r="D90" s="13" t="s">
        <v>688</v>
      </c>
      <c r="E90" s="7"/>
      <c r="F90" s="7" t="s">
        <v>318</v>
      </c>
      <c r="G90" s="7" t="str">
        <f t="shared" si="3"/>
        <v>text</v>
      </c>
      <c r="H90" s="26"/>
      <c r="I90" s="10"/>
      <c r="J90" s="11" t="s">
        <v>838</v>
      </c>
      <c r="L90" s="4"/>
      <c r="M90" s="4"/>
      <c r="N90" s="78"/>
      <c r="O90" s="78"/>
      <c r="P90" s="78" t="str">
        <f t="shared" si="7"/>
        <v>,a006030_icd10_code</v>
      </c>
      <c r="Q90" s="78" t="str">
        <f t="shared" si="8"/>
        <v>TEXT</v>
      </c>
      <c r="R90" s="78" t="str">
        <f t="shared" si="9"/>
        <v/>
      </c>
      <c r="S90" s="78" t="str">
        <f t="shared" si="10"/>
        <v/>
      </c>
      <c r="T90" s="78" t="str">
        <f t="shared" si="11"/>
        <v>-- ICD10コード</v>
      </c>
      <c r="U90" s="4"/>
      <c r="AA90" s="4"/>
      <c r="AB90" s="4"/>
      <c r="AC90" s="4"/>
      <c r="AD90" s="4"/>
      <c r="AE90" s="4"/>
      <c r="AF90" s="4"/>
      <c r="AG90" s="4"/>
      <c r="AH90" s="4"/>
      <c r="AI90" s="4"/>
      <c r="AJ90" s="78" t="str">
        <f>IF(E90="○",IF(COUNTA(E$13:E90)=1,"",",")&amp;D90,"")</f>
        <v/>
      </c>
      <c r="AK90" s="4"/>
      <c r="AL90" s="4"/>
      <c r="AM90" s="4"/>
      <c r="AN90" s="4"/>
      <c r="AO90" s="4"/>
      <c r="AP90" s="4"/>
      <c r="AQ90" s="4"/>
      <c r="AR90" s="4"/>
      <c r="AS90" s="78" t="str">
        <f>"COMMENT ON COLUMN "&amp;エンティティ一覧!$O$2&amp;"."&amp;D$8&amp;"."&amp;D90&amp;" IS '"&amp;C90&amp;"';"</f>
        <v>COMMENT ON COLUMN milscm_2023_010.azn_202310_base_merge_dpc_ff1.a006030_icd10_code IS 'ICD10コード';</v>
      </c>
      <c r="AT90" s="4"/>
      <c r="AU90" s="4"/>
      <c r="AV90" s="4"/>
      <c r="AW90" s="4"/>
      <c r="AX90" s="4"/>
      <c r="AY90" s="4"/>
      <c r="AZ90" s="4"/>
    </row>
    <row r="91" spans="1:52" s="25" customFormat="1" ht="31.5">
      <c r="A91" s="4"/>
      <c r="B91" s="21">
        <f t="shared" si="2"/>
        <v>79</v>
      </c>
      <c r="C91" s="6" t="s">
        <v>689</v>
      </c>
      <c r="D91" s="6" t="s">
        <v>690</v>
      </c>
      <c r="E91" s="8"/>
      <c r="F91" s="7" t="s">
        <v>318</v>
      </c>
      <c r="G91" s="7" t="str">
        <f t="shared" si="3"/>
        <v>text</v>
      </c>
      <c r="H91" s="58"/>
      <c r="I91" s="23"/>
      <c r="J91" s="24"/>
      <c r="L91" s="4"/>
      <c r="M91" s="4"/>
      <c r="N91" s="78"/>
      <c r="O91" s="78"/>
      <c r="P91" s="78" t="str">
        <f t="shared" si="7"/>
        <v>,a006030_byomei_fuka_code</v>
      </c>
      <c r="Q91" s="78" t="str">
        <f t="shared" si="8"/>
        <v>TEXT</v>
      </c>
      <c r="R91" s="78" t="str">
        <f t="shared" si="9"/>
        <v/>
      </c>
      <c r="S91" s="78" t="str">
        <f t="shared" si="10"/>
        <v/>
      </c>
      <c r="T91" s="78" t="str">
        <f t="shared" si="11"/>
        <v>-- 病名付加コード</v>
      </c>
      <c r="U91" s="4"/>
      <c r="AA91" s="4"/>
      <c r="AB91" s="4"/>
      <c r="AC91" s="4"/>
      <c r="AD91" s="4"/>
      <c r="AE91" s="4"/>
      <c r="AF91" s="4"/>
      <c r="AG91" s="4"/>
      <c r="AH91" s="4"/>
      <c r="AI91" s="4"/>
      <c r="AJ91" s="78" t="str">
        <f>IF(E91="○",IF(COUNTA(E$13:E91)=1,"",",")&amp;D91,"")</f>
        <v/>
      </c>
      <c r="AK91" s="4"/>
      <c r="AL91" s="4"/>
      <c r="AM91" s="4"/>
      <c r="AN91" s="4"/>
      <c r="AO91" s="4"/>
      <c r="AP91" s="4"/>
      <c r="AQ91" s="4"/>
      <c r="AR91" s="4"/>
      <c r="AS91" s="78" t="str">
        <f>"COMMENT ON COLUMN "&amp;エンティティ一覧!$O$2&amp;"."&amp;D$8&amp;"."&amp;D91&amp;" IS '"&amp;C91&amp;"';"</f>
        <v>COMMENT ON COLUMN milscm_2023_010.azn_202310_base_merge_dpc_ff1.a006030_byomei_fuka_code IS '病名付加コード';</v>
      </c>
      <c r="AT91" s="4"/>
      <c r="AU91" s="4"/>
      <c r="AV91" s="4"/>
      <c r="AW91" s="4"/>
      <c r="AX91" s="4"/>
      <c r="AY91" s="4"/>
      <c r="AZ91" s="4"/>
    </row>
    <row r="92" spans="1:52" s="25" customFormat="1">
      <c r="A92" s="4"/>
      <c r="B92" s="21">
        <f t="shared" si="2"/>
        <v>80</v>
      </c>
      <c r="C92" s="13" t="s">
        <v>668</v>
      </c>
      <c r="D92" s="13" t="s">
        <v>691</v>
      </c>
      <c r="E92" s="7"/>
      <c r="F92" s="7" t="s">
        <v>318</v>
      </c>
      <c r="G92" s="7" t="str">
        <f t="shared" si="3"/>
        <v>text</v>
      </c>
      <c r="H92" s="26"/>
      <c r="I92" s="10"/>
      <c r="J92" s="11"/>
      <c r="L92" s="4"/>
      <c r="M92" s="4"/>
      <c r="N92" s="78"/>
      <c r="O92" s="78"/>
      <c r="P92" s="78" t="str">
        <f t="shared" si="7"/>
        <v>,a006030_shobyo_code</v>
      </c>
      <c r="Q92" s="78" t="str">
        <f t="shared" si="8"/>
        <v>TEXT</v>
      </c>
      <c r="R92" s="78" t="str">
        <f t="shared" si="9"/>
        <v/>
      </c>
      <c r="S92" s="78" t="str">
        <f t="shared" si="10"/>
        <v/>
      </c>
      <c r="T92" s="78" t="str">
        <f t="shared" si="11"/>
        <v>-- 傷病名コード</v>
      </c>
      <c r="U92" s="4"/>
      <c r="AA92" s="4"/>
      <c r="AB92" s="4"/>
      <c r="AC92" s="4"/>
      <c r="AD92" s="4"/>
      <c r="AE92" s="4"/>
      <c r="AF92" s="4"/>
      <c r="AG92" s="4"/>
      <c r="AH92" s="4"/>
      <c r="AI92" s="4"/>
      <c r="AJ92" s="78" t="str">
        <f>IF(E92="○",IF(COUNTA(E$13:E92)=1,"",",")&amp;D92,"")</f>
        <v/>
      </c>
      <c r="AK92" s="4"/>
      <c r="AL92" s="4"/>
      <c r="AM92" s="4"/>
      <c r="AN92" s="4"/>
      <c r="AO92" s="4"/>
      <c r="AP92" s="4"/>
      <c r="AQ92" s="4"/>
      <c r="AR92" s="4"/>
      <c r="AS92" s="78" t="str">
        <f>"COMMENT ON COLUMN "&amp;エンティティ一覧!$O$2&amp;"."&amp;D$8&amp;"."&amp;D92&amp;" IS '"&amp;C92&amp;"';"</f>
        <v>COMMENT ON COLUMN milscm_2023_010.azn_202310_base_merge_dpc_ff1.a006030_shobyo_code IS '傷病名コード';</v>
      </c>
      <c r="AT92" s="4"/>
      <c r="AU92" s="4"/>
      <c r="AV92" s="4"/>
      <c r="AW92" s="4"/>
      <c r="AX92" s="4"/>
      <c r="AY92" s="4"/>
      <c r="AZ92" s="4"/>
    </row>
    <row r="93" spans="1:52" s="25" customFormat="1">
      <c r="A93" s="4"/>
      <c r="B93" s="21">
        <f t="shared" si="2"/>
        <v>81</v>
      </c>
      <c r="C93" s="6" t="s">
        <v>670</v>
      </c>
      <c r="D93" s="6" t="s">
        <v>692</v>
      </c>
      <c r="E93" s="8"/>
      <c r="F93" s="7" t="s">
        <v>318</v>
      </c>
      <c r="G93" s="7" t="str">
        <f t="shared" si="3"/>
        <v>text</v>
      </c>
      <c r="H93" s="58"/>
      <c r="I93" s="23"/>
      <c r="J93" s="24"/>
      <c r="L93" s="4"/>
      <c r="M93" s="4"/>
      <c r="N93" s="78"/>
      <c r="O93" s="78"/>
      <c r="P93" s="78" t="str">
        <f t="shared" si="7"/>
        <v>,a006030_shushoku_code1</v>
      </c>
      <c r="Q93" s="78" t="str">
        <f t="shared" si="8"/>
        <v>TEXT</v>
      </c>
      <c r="R93" s="78" t="str">
        <f t="shared" si="9"/>
        <v/>
      </c>
      <c r="S93" s="78" t="str">
        <f t="shared" si="10"/>
        <v/>
      </c>
      <c r="T93" s="78" t="str">
        <f t="shared" si="11"/>
        <v>-- 修飾語コード1</v>
      </c>
      <c r="U93" s="4"/>
      <c r="AA93" s="4"/>
      <c r="AB93" s="4"/>
      <c r="AC93" s="4"/>
      <c r="AD93" s="4"/>
      <c r="AE93" s="4"/>
      <c r="AF93" s="4"/>
      <c r="AG93" s="4"/>
      <c r="AH93" s="4"/>
      <c r="AI93" s="4"/>
      <c r="AJ93" s="78" t="str">
        <f>IF(E93="○",IF(COUNTA(E$13:E93)=1,"",",")&amp;D93,"")</f>
        <v/>
      </c>
      <c r="AK93" s="4"/>
      <c r="AL93" s="4"/>
      <c r="AM93" s="4"/>
      <c r="AN93" s="4"/>
      <c r="AO93" s="4"/>
      <c r="AP93" s="4"/>
      <c r="AQ93" s="4"/>
      <c r="AR93" s="4"/>
      <c r="AS93" s="78" t="str">
        <f>"COMMENT ON COLUMN "&amp;エンティティ一覧!$O$2&amp;"."&amp;D$8&amp;"."&amp;D93&amp;" IS '"&amp;C93&amp;"';"</f>
        <v>COMMENT ON COLUMN milscm_2023_010.azn_202310_base_merge_dpc_ff1.a006030_shushoku_code1 IS '修飾語コード1';</v>
      </c>
      <c r="AT93" s="4"/>
      <c r="AU93" s="4"/>
      <c r="AV93" s="4"/>
      <c r="AW93" s="4"/>
      <c r="AX93" s="4"/>
      <c r="AY93" s="4"/>
      <c r="AZ93" s="4"/>
    </row>
    <row r="94" spans="1:52" s="25" customFormat="1">
      <c r="A94" s="4"/>
      <c r="B94" s="21">
        <f t="shared" si="2"/>
        <v>82</v>
      </c>
      <c r="C94" s="13" t="s">
        <v>672</v>
      </c>
      <c r="D94" s="13" t="s">
        <v>693</v>
      </c>
      <c r="E94" s="7"/>
      <c r="F94" s="7" t="s">
        <v>318</v>
      </c>
      <c r="G94" s="7" t="str">
        <f t="shared" si="3"/>
        <v>text</v>
      </c>
      <c r="H94" s="58"/>
      <c r="I94" s="23"/>
      <c r="J94" s="24"/>
      <c r="L94" s="4"/>
      <c r="M94" s="4"/>
      <c r="N94" s="78"/>
      <c r="O94" s="78"/>
      <c r="P94" s="78" t="str">
        <f t="shared" si="7"/>
        <v>,a006030_shushoku_code2</v>
      </c>
      <c r="Q94" s="78" t="str">
        <f t="shared" si="8"/>
        <v>TEXT</v>
      </c>
      <c r="R94" s="78" t="str">
        <f t="shared" si="9"/>
        <v/>
      </c>
      <c r="S94" s="78" t="str">
        <f t="shared" si="10"/>
        <v/>
      </c>
      <c r="T94" s="78" t="str">
        <f t="shared" si="11"/>
        <v>-- 修飾語コード2</v>
      </c>
      <c r="U94" s="4"/>
      <c r="AA94" s="4"/>
      <c r="AB94" s="4"/>
      <c r="AC94" s="4"/>
      <c r="AD94" s="4"/>
      <c r="AE94" s="4"/>
      <c r="AF94" s="4"/>
      <c r="AG94" s="4"/>
      <c r="AH94" s="4"/>
      <c r="AI94" s="4"/>
      <c r="AJ94" s="78" t="str">
        <f>IF(E94="○",IF(COUNTA(E$13:E94)=1,"",",")&amp;D94,"")</f>
        <v/>
      </c>
      <c r="AK94" s="4"/>
      <c r="AL94" s="4"/>
      <c r="AM94" s="4"/>
      <c r="AN94" s="4"/>
      <c r="AO94" s="4"/>
      <c r="AP94" s="4"/>
      <c r="AQ94" s="4"/>
      <c r="AR94" s="4"/>
      <c r="AS94" s="78" t="str">
        <f>"COMMENT ON COLUMN "&amp;エンティティ一覧!$O$2&amp;"."&amp;D$8&amp;"."&amp;D94&amp;" IS '"&amp;C94&amp;"';"</f>
        <v>COMMENT ON COLUMN milscm_2023_010.azn_202310_base_merge_dpc_ff1.a006030_shushoku_code2 IS '修飾語コード2';</v>
      </c>
      <c r="AT94" s="4"/>
      <c r="AU94" s="4"/>
      <c r="AV94" s="4"/>
      <c r="AW94" s="4"/>
      <c r="AX94" s="4"/>
      <c r="AY94" s="4"/>
      <c r="AZ94" s="4"/>
    </row>
    <row r="95" spans="1:52" s="25" customFormat="1">
      <c r="A95" s="4"/>
      <c r="B95" s="21">
        <f t="shared" si="2"/>
        <v>83</v>
      </c>
      <c r="C95" s="6" t="s">
        <v>674</v>
      </c>
      <c r="D95" s="6" t="s">
        <v>694</v>
      </c>
      <c r="E95" s="8"/>
      <c r="F95" s="7" t="s">
        <v>318</v>
      </c>
      <c r="G95" s="7" t="str">
        <f t="shared" si="3"/>
        <v>text</v>
      </c>
      <c r="H95" s="26"/>
      <c r="I95" s="10"/>
      <c r="J95" s="11"/>
      <c r="L95" s="4"/>
      <c r="M95" s="4"/>
      <c r="N95" s="78"/>
      <c r="O95" s="78"/>
      <c r="P95" s="78" t="str">
        <f t="shared" ref="P95:P155" si="12">IF(B95&lt;&gt;1,","&amp;D95,D95)</f>
        <v>,a006030_shushoku_code3</v>
      </c>
      <c r="Q95" s="78" t="str">
        <f t="shared" ref="Q95:Q155" si="13">UPPER(G95)</f>
        <v>TEXT</v>
      </c>
      <c r="R95" s="78" t="str">
        <f t="shared" ref="R95:R155" si="14">IF(H95&lt;&gt;"","default "&amp;IF(G95="text","'"&amp;H95&amp;"'",H95),"")</f>
        <v/>
      </c>
      <c r="S95" s="78" t="str">
        <f t="shared" ref="S95:S155" si="15">IF(I95="○","NOT NULL","")</f>
        <v/>
      </c>
      <c r="T95" s="78" t="str">
        <f t="shared" ref="T95:T155" si="16">"-- "&amp;C95</f>
        <v>-- 修飾語コード3</v>
      </c>
      <c r="U95" s="4"/>
      <c r="AA95" s="4"/>
      <c r="AB95" s="4"/>
      <c r="AC95" s="4"/>
      <c r="AD95" s="4"/>
      <c r="AE95" s="4"/>
      <c r="AF95" s="4"/>
      <c r="AG95" s="4"/>
      <c r="AH95" s="4"/>
      <c r="AI95" s="4"/>
      <c r="AJ95" s="78" t="str">
        <f>IF(E95="○",IF(COUNTA(E$13:E95)=1,"",",")&amp;D95,"")</f>
        <v/>
      </c>
      <c r="AK95" s="4"/>
      <c r="AL95" s="4"/>
      <c r="AM95" s="4"/>
      <c r="AN95" s="4"/>
      <c r="AO95" s="4"/>
      <c r="AP95" s="4"/>
      <c r="AQ95" s="4"/>
      <c r="AR95" s="4"/>
      <c r="AS95" s="78" t="str">
        <f>"COMMENT ON COLUMN "&amp;エンティティ一覧!$O$2&amp;"."&amp;D$8&amp;"."&amp;D95&amp;" IS '"&amp;C95&amp;"';"</f>
        <v>COMMENT ON COLUMN milscm_2023_010.azn_202310_base_merge_dpc_ff1.a006030_shushoku_code3 IS '修飾語コード3';</v>
      </c>
      <c r="AT95" s="4"/>
      <c r="AU95" s="4"/>
      <c r="AV95" s="4"/>
      <c r="AW95" s="4"/>
      <c r="AX95" s="4"/>
      <c r="AY95" s="4"/>
      <c r="AZ95" s="4"/>
    </row>
    <row r="96" spans="1:52" s="25" customFormat="1">
      <c r="A96" s="4"/>
      <c r="B96" s="21">
        <f t="shared" si="2"/>
        <v>84</v>
      </c>
      <c r="C96" s="13" t="s">
        <v>676</v>
      </c>
      <c r="D96" s="13" t="s">
        <v>695</v>
      </c>
      <c r="E96" s="7"/>
      <c r="F96" s="7" t="s">
        <v>318</v>
      </c>
      <c r="G96" s="7" t="str">
        <f t="shared" si="3"/>
        <v>text</v>
      </c>
      <c r="H96" s="26"/>
      <c r="I96" s="10"/>
      <c r="J96" s="11"/>
      <c r="L96" s="4"/>
      <c r="M96" s="4"/>
      <c r="N96" s="78"/>
      <c r="O96" s="78"/>
      <c r="P96" s="78" t="str">
        <f t="shared" si="12"/>
        <v>,a006030_shushoku_code4</v>
      </c>
      <c r="Q96" s="78" t="str">
        <f t="shared" si="13"/>
        <v>TEXT</v>
      </c>
      <c r="R96" s="78" t="str">
        <f t="shared" si="14"/>
        <v/>
      </c>
      <c r="S96" s="78" t="str">
        <f t="shared" si="15"/>
        <v/>
      </c>
      <c r="T96" s="78" t="str">
        <f t="shared" si="16"/>
        <v>-- 修飾語コード4</v>
      </c>
      <c r="U96" s="4"/>
      <c r="AA96" s="4"/>
      <c r="AB96" s="4"/>
      <c r="AC96" s="4"/>
      <c r="AD96" s="4"/>
      <c r="AE96" s="4"/>
      <c r="AF96" s="4"/>
      <c r="AG96" s="4"/>
      <c r="AH96" s="4"/>
      <c r="AI96" s="4"/>
      <c r="AJ96" s="78" t="str">
        <f>IF(E96="○",IF(COUNTA(E$13:E96)=1,"",",")&amp;D96,"")</f>
        <v/>
      </c>
      <c r="AK96" s="4"/>
      <c r="AL96" s="4"/>
      <c r="AM96" s="4"/>
      <c r="AN96" s="4"/>
      <c r="AO96" s="4"/>
      <c r="AP96" s="4"/>
      <c r="AQ96" s="4"/>
      <c r="AR96" s="4"/>
      <c r="AS96" s="78" t="str">
        <f>"COMMENT ON COLUMN "&amp;エンティティ一覧!$O$2&amp;"."&amp;D$8&amp;"."&amp;D96&amp;" IS '"&amp;C96&amp;"';"</f>
        <v>COMMENT ON COLUMN milscm_2023_010.azn_202310_base_merge_dpc_ff1.a006030_shushoku_code4 IS '修飾語コード4';</v>
      </c>
      <c r="AT96" s="4"/>
      <c r="AU96" s="4"/>
      <c r="AV96" s="4"/>
      <c r="AW96" s="4"/>
      <c r="AX96" s="4"/>
      <c r="AY96" s="4"/>
      <c r="AZ96" s="4"/>
    </row>
    <row r="97" spans="1:52" s="25" customFormat="1" ht="37.5">
      <c r="A97" s="4"/>
      <c r="B97" s="21">
        <f t="shared" si="2"/>
        <v>85</v>
      </c>
      <c r="C97" s="6" t="s">
        <v>696</v>
      </c>
      <c r="D97" s="6" t="s">
        <v>697</v>
      </c>
      <c r="E97" s="8"/>
      <c r="F97" s="7" t="s">
        <v>318</v>
      </c>
      <c r="G97" s="7" t="str">
        <f t="shared" si="3"/>
        <v>text</v>
      </c>
      <c r="H97" s="58"/>
      <c r="I97" s="23"/>
      <c r="J97" s="24" t="s">
        <v>839</v>
      </c>
      <c r="L97" s="4"/>
      <c r="M97" s="4"/>
      <c r="N97" s="78"/>
      <c r="O97" s="78"/>
      <c r="P97" s="78" t="str">
        <f t="shared" si="12"/>
        <v>,a006030_iryo1_shobyo_name</v>
      </c>
      <c r="Q97" s="78" t="str">
        <f t="shared" si="13"/>
        <v>TEXT</v>
      </c>
      <c r="R97" s="78" t="str">
        <f t="shared" si="14"/>
        <v/>
      </c>
      <c r="S97" s="78" t="str">
        <f t="shared" si="15"/>
        <v/>
      </c>
      <c r="T97" s="78" t="str">
        <f t="shared" si="16"/>
        <v>-- 医療資源を最も投入した傷病名</v>
      </c>
      <c r="U97" s="4"/>
      <c r="AA97" s="4"/>
      <c r="AB97" s="4"/>
      <c r="AC97" s="4"/>
      <c r="AD97" s="4"/>
      <c r="AE97" s="4"/>
      <c r="AF97" s="4"/>
      <c r="AG97" s="4"/>
      <c r="AH97" s="4"/>
      <c r="AI97" s="4"/>
      <c r="AJ97" s="78" t="str">
        <f>IF(E97="○",IF(COUNTA(E$13:E97)=1,"",",")&amp;D97,"")</f>
        <v/>
      </c>
      <c r="AK97" s="4"/>
      <c r="AL97" s="4"/>
      <c r="AM97" s="4"/>
      <c r="AN97" s="4"/>
      <c r="AO97" s="4"/>
      <c r="AP97" s="4"/>
      <c r="AQ97" s="4"/>
      <c r="AR97" s="4"/>
      <c r="AS97" s="78" t="str">
        <f>"COMMENT ON COLUMN "&amp;エンティティ一覧!$O$2&amp;"."&amp;D$8&amp;"."&amp;D97&amp;" IS '"&amp;C97&amp;"';"</f>
        <v>COMMENT ON COLUMN milscm_2023_010.azn_202310_base_merge_dpc_ff1.a006030_iryo1_shobyo_name IS '医療資源を最も投入した傷病名';</v>
      </c>
      <c r="AT97" s="4"/>
      <c r="AU97" s="4"/>
      <c r="AV97" s="4"/>
      <c r="AW97" s="4"/>
      <c r="AX97" s="4"/>
      <c r="AY97" s="4"/>
      <c r="AZ97" s="4"/>
    </row>
    <row r="98" spans="1:52" s="25" customFormat="1" ht="37.5">
      <c r="A98" s="4"/>
      <c r="B98" s="21">
        <f t="shared" si="2"/>
        <v>86</v>
      </c>
      <c r="C98" s="13" t="s">
        <v>666</v>
      </c>
      <c r="D98" s="13" t="s">
        <v>698</v>
      </c>
      <c r="E98" s="7"/>
      <c r="F98" s="7" t="s">
        <v>318</v>
      </c>
      <c r="G98" s="7" t="str">
        <f t="shared" si="3"/>
        <v>text</v>
      </c>
      <c r="H98" s="26"/>
      <c r="I98" s="10"/>
      <c r="J98" s="11" t="s">
        <v>840</v>
      </c>
      <c r="L98" s="4"/>
      <c r="M98" s="4"/>
      <c r="N98" s="78"/>
      <c r="O98" s="78"/>
      <c r="P98" s="78" t="str">
        <f t="shared" si="12"/>
        <v>,a006031_icd10_code</v>
      </c>
      <c r="Q98" s="78" t="str">
        <f t="shared" si="13"/>
        <v>TEXT</v>
      </c>
      <c r="R98" s="78" t="str">
        <f t="shared" si="14"/>
        <v/>
      </c>
      <c r="S98" s="78" t="str">
        <f t="shared" si="15"/>
        <v/>
      </c>
      <c r="T98" s="78" t="str">
        <f t="shared" si="16"/>
        <v>-- ICD10コード</v>
      </c>
      <c r="U98" s="4"/>
      <c r="AA98" s="4"/>
      <c r="AB98" s="4"/>
      <c r="AC98" s="4"/>
      <c r="AD98" s="4"/>
      <c r="AE98" s="4"/>
      <c r="AF98" s="4"/>
      <c r="AG98" s="4"/>
      <c r="AH98" s="4"/>
      <c r="AI98" s="4"/>
      <c r="AJ98" s="78" t="str">
        <f>IF(E98="○",IF(COUNTA(E$13:E98)=1,"",",")&amp;D98,"")</f>
        <v/>
      </c>
      <c r="AK98" s="4"/>
      <c r="AL98" s="4"/>
      <c r="AM98" s="4"/>
      <c r="AN98" s="4"/>
      <c r="AO98" s="4"/>
      <c r="AP98" s="4"/>
      <c r="AQ98" s="4"/>
      <c r="AR98" s="4"/>
      <c r="AS98" s="78" t="str">
        <f>"COMMENT ON COLUMN "&amp;エンティティ一覧!$O$2&amp;"."&amp;D$8&amp;"."&amp;D98&amp;" IS '"&amp;C98&amp;"';"</f>
        <v>COMMENT ON COLUMN milscm_2023_010.azn_202310_base_merge_dpc_ff1.a006031_icd10_code IS 'ICD10コード';</v>
      </c>
      <c r="AT98" s="4"/>
      <c r="AU98" s="4"/>
      <c r="AV98" s="4"/>
      <c r="AW98" s="4"/>
      <c r="AX98" s="4"/>
      <c r="AY98" s="4"/>
      <c r="AZ98" s="4"/>
    </row>
    <row r="99" spans="1:52" s="25" customFormat="1">
      <c r="A99" s="4"/>
      <c r="B99" s="21">
        <f t="shared" si="2"/>
        <v>87</v>
      </c>
      <c r="C99" s="13" t="s">
        <v>668</v>
      </c>
      <c r="D99" s="13" t="s">
        <v>699</v>
      </c>
      <c r="E99" s="7"/>
      <c r="F99" s="7" t="s">
        <v>318</v>
      </c>
      <c r="G99" s="7" t="str">
        <f t="shared" si="3"/>
        <v>text</v>
      </c>
      <c r="H99" s="58"/>
      <c r="I99" s="23"/>
      <c r="J99" s="24"/>
      <c r="L99" s="4"/>
      <c r="M99" s="4"/>
      <c r="N99" s="78"/>
      <c r="O99" s="78"/>
      <c r="P99" s="78" t="str">
        <f t="shared" si="12"/>
        <v>,a006031_shobyo_code</v>
      </c>
      <c r="Q99" s="78" t="str">
        <f t="shared" si="13"/>
        <v>TEXT</v>
      </c>
      <c r="R99" s="78" t="str">
        <f t="shared" si="14"/>
        <v/>
      </c>
      <c r="S99" s="78" t="str">
        <f t="shared" si="15"/>
        <v/>
      </c>
      <c r="T99" s="78" t="str">
        <f t="shared" si="16"/>
        <v>-- 傷病名コード</v>
      </c>
      <c r="U99" s="4"/>
      <c r="AA99" s="4"/>
      <c r="AB99" s="4"/>
      <c r="AC99" s="4"/>
      <c r="AD99" s="4"/>
      <c r="AE99" s="4"/>
      <c r="AF99" s="4"/>
      <c r="AG99" s="4"/>
      <c r="AH99" s="4"/>
      <c r="AI99" s="4"/>
      <c r="AJ99" s="78" t="str">
        <f>IF(E99="○",IF(COUNTA(E$13:E99)=1,"",",")&amp;D99,"")</f>
        <v/>
      </c>
      <c r="AK99" s="4"/>
      <c r="AL99" s="4"/>
      <c r="AM99" s="4"/>
      <c r="AN99" s="4"/>
      <c r="AO99" s="4"/>
      <c r="AP99" s="4"/>
      <c r="AQ99" s="4"/>
      <c r="AR99" s="4"/>
      <c r="AS99" s="78" t="str">
        <f>"COMMENT ON COLUMN "&amp;エンティティ一覧!$O$2&amp;"."&amp;D$8&amp;"."&amp;D99&amp;" IS '"&amp;C99&amp;"';"</f>
        <v>COMMENT ON COLUMN milscm_2023_010.azn_202310_base_merge_dpc_ff1.a006031_shobyo_code IS '傷病名コード';</v>
      </c>
      <c r="AT99" s="4"/>
      <c r="AU99" s="4"/>
      <c r="AV99" s="4"/>
      <c r="AW99" s="4"/>
      <c r="AX99" s="4"/>
      <c r="AY99" s="4"/>
      <c r="AZ99" s="4"/>
    </row>
    <row r="100" spans="1:52" s="25" customFormat="1">
      <c r="A100" s="4"/>
      <c r="B100" s="21">
        <f t="shared" si="2"/>
        <v>88</v>
      </c>
      <c r="C100" s="13" t="s">
        <v>670</v>
      </c>
      <c r="D100" s="13" t="s">
        <v>700</v>
      </c>
      <c r="E100" s="7"/>
      <c r="F100" s="7" t="s">
        <v>318</v>
      </c>
      <c r="G100" s="7" t="str">
        <f t="shared" si="3"/>
        <v>text</v>
      </c>
      <c r="H100" s="26"/>
      <c r="I100" s="10"/>
      <c r="J100" s="11"/>
      <c r="L100" s="4"/>
      <c r="M100" s="4"/>
      <c r="N100" s="78"/>
      <c r="O100" s="78"/>
      <c r="P100" s="78" t="str">
        <f t="shared" si="12"/>
        <v>,a006031_shushoku_code1</v>
      </c>
      <c r="Q100" s="78" t="str">
        <f t="shared" si="13"/>
        <v>TEXT</v>
      </c>
      <c r="R100" s="78" t="str">
        <f t="shared" si="14"/>
        <v/>
      </c>
      <c r="S100" s="78" t="str">
        <f t="shared" si="15"/>
        <v/>
      </c>
      <c r="T100" s="78" t="str">
        <f t="shared" si="16"/>
        <v>-- 修飾語コード1</v>
      </c>
      <c r="U100" s="4"/>
      <c r="AA100" s="4"/>
      <c r="AB100" s="4"/>
      <c r="AC100" s="4"/>
      <c r="AD100" s="4"/>
      <c r="AE100" s="4"/>
      <c r="AF100" s="4"/>
      <c r="AG100" s="4"/>
      <c r="AH100" s="4"/>
      <c r="AI100" s="4"/>
      <c r="AJ100" s="78" t="str">
        <f>IF(E100="○",IF(COUNTA(E$13:E100)=1,"",",")&amp;D100,"")</f>
        <v/>
      </c>
      <c r="AK100" s="4"/>
      <c r="AL100" s="4"/>
      <c r="AM100" s="4"/>
      <c r="AN100" s="4"/>
      <c r="AO100" s="4"/>
      <c r="AP100" s="4"/>
      <c r="AQ100" s="4"/>
      <c r="AR100" s="4"/>
      <c r="AS100" s="78" t="str">
        <f>"COMMENT ON COLUMN "&amp;エンティティ一覧!$O$2&amp;"."&amp;D$8&amp;"."&amp;D100&amp;" IS '"&amp;C100&amp;"';"</f>
        <v>COMMENT ON COLUMN milscm_2023_010.azn_202310_base_merge_dpc_ff1.a006031_shushoku_code1 IS '修飾語コード1';</v>
      </c>
      <c r="AT100" s="4"/>
      <c r="AU100" s="4"/>
      <c r="AV100" s="4"/>
      <c r="AW100" s="4"/>
      <c r="AX100" s="4"/>
      <c r="AY100" s="4"/>
      <c r="AZ100" s="4"/>
    </row>
    <row r="101" spans="1:52" s="25" customFormat="1">
      <c r="A101" s="4"/>
      <c r="B101" s="21">
        <f t="shared" si="2"/>
        <v>89</v>
      </c>
      <c r="C101" s="6" t="s">
        <v>672</v>
      </c>
      <c r="D101" s="6" t="s">
        <v>701</v>
      </c>
      <c r="E101" s="8"/>
      <c r="F101" s="7" t="s">
        <v>318</v>
      </c>
      <c r="G101" s="7" t="str">
        <f t="shared" si="3"/>
        <v>text</v>
      </c>
      <c r="H101" s="58"/>
      <c r="I101" s="23"/>
      <c r="J101" s="24"/>
      <c r="L101" s="4"/>
      <c r="M101" s="4"/>
      <c r="N101" s="78"/>
      <c r="O101" s="78"/>
      <c r="P101" s="78" t="str">
        <f t="shared" si="12"/>
        <v>,a006031_shushoku_code2</v>
      </c>
      <c r="Q101" s="78" t="str">
        <f t="shared" si="13"/>
        <v>TEXT</v>
      </c>
      <c r="R101" s="78" t="str">
        <f t="shared" si="14"/>
        <v/>
      </c>
      <c r="S101" s="78" t="str">
        <f t="shared" si="15"/>
        <v/>
      </c>
      <c r="T101" s="78" t="str">
        <f t="shared" si="16"/>
        <v>-- 修飾語コード2</v>
      </c>
      <c r="U101" s="4"/>
      <c r="AA101" s="4"/>
      <c r="AB101" s="4"/>
      <c r="AC101" s="4"/>
      <c r="AD101" s="4"/>
      <c r="AE101" s="4"/>
      <c r="AF101" s="4"/>
      <c r="AG101" s="4"/>
      <c r="AH101" s="4"/>
      <c r="AI101" s="4"/>
      <c r="AJ101" s="78" t="str">
        <f>IF(E101="○",IF(COUNTA(E$13:E101)=1,"",",")&amp;D101,"")</f>
        <v/>
      </c>
      <c r="AK101" s="4"/>
      <c r="AL101" s="4"/>
      <c r="AM101" s="4"/>
      <c r="AN101" s="4"/>
      <c r="AO101" s="4"/>
      <c r="AP101" s="4"/>
      <c r="AQ101" s="4"/>
      <c r="AR101" s="4"/>
      <c r="AS101" s="78" t="str">
        <f>"COMMENT ON COLUMN "&amp;エンティティ一覧!$O$2&amp;"."&amp;D$8&amp;"."&amp;D101&amp;" IS '"&amp;C101&amp;"';"</f>
        <v>COMMENT ON COLUMN milscm_2023_010.azn_202310_base_merge_dpc_ff1.a006031_shushoku_code2 IS '修飾語コード2';</v>
      </c>
      <c r="AT101" s="4"/>
      <c r="AU101" s="4"/>
      <c r="AV101" s="4"/>
      <c r="AW101" s="4"/>
      <c r="AX101" s="4"/>
      <c r="AY101" s="4"/>
      <c r="AZ101" s="4"/>
    </row>
    <row r="102" spans="1:52" s="25" customFormat="1">
      <c r="A102" s="4"/>
      <c r="B102" s="21">
        <f t="shared" si="2"/>
        <v>90</v>
      </c>
      <c r="C102" s="13" t="s">
        <v>674</v>
      </c>
      <c r="D102" s="13" t="s">
        <v>702</v>
      </c>
      <c r="E102" s="7"/>
      <c r="F102" s="7" t="s">
        <v>318</v>
      </c>
      <c r="G102" s="7" t="str">
        <f t="shared" si="3"/>
        <v>text</v>
      </c>
      <c r="H102" s="26"/>
      <c r="I102" s="10"/>
      <c r="J102" s="11"/>
      <c r="L102" s="4"/>
      <c r="M102" s="4"/>
      <c r="N102" s="78"/>
      <c r="O102" s="78"/>
      <c r="P102" s="78" t="str">
        <f t="shared" si="12"/>
        <v>,a006031_shushoku_code3</v>
      </c>
      <c r="Q102" s="78" t="str">
        <f t="shared" si="13"/>
        <v>TEXT</v>
      </c>
      <c r="R102" s="78" t="str">
        <f t="shared" si="14"/>
        <v/>
      </c>
      <c r="S102" s="78" t="str">
        <f t="shared" si="15"/>
        <v/>
      </c>
      <c r="T102" s="78" t="str">
        <f t="shared" si="16"/>
        <v>-- 修飾語コード3</v>
      </c>
      <c r="U102" s="4"/>
      <c r="AA102" s="4"/>
      <c r="AB102" s="4"/>
      <c r="AC102" s="4"/>
      <c r="AD102" s="4"/>
      <c r="AE102" s="4"/>
      <c r="AF102" s="4"/>
      <c r="AG102" s="4"/>
      <c r="AH102" s="4"/>
      <c r="AI102" s="4"/>
      <c r="AJ102" s="78" t="str">
        <f>IF(E102="○",IF(COUNTA(E$13:E102)=1,"",",")&amp;D102,"")</f>
        <v/>
      </c>
      <c r="AK102" s="4"/>
      <c r="AL102" s="4"/>
      <c r="AM102" s="4"/>
      <c r="AN102" s="4"/>
      <c r="AO102" s="4"/>
      <c r="AP102" s="4"/>
      <c r="AQ102" s="4"/>
      <c r="AR102" s="4"/>
      <c r="AS102" s="78" t="str">
        <f>"COMMENT ON COLUMN "&amp;エンティティ一覧!$O$2&amp;"."&amp;D$8&amp;"."&amp;D102&amp;" IS '"&amp;C102&amp;"';"</f>
        <v>COMMENT ON COLUMN milscm_2023_010.azn_202310_base_merge_dpc_ff1.a006031_shushoku_code3 IS '修飾語コード3';</v>
      </c>
      <c r="AT102" s="4"/>
      <c r="AU102" s="4"/>
      <c r="AV102" s="4"/>
      <c r="AW102" s="4"/>
      <c r="AX102" s="4"/>
      <c r="AY102" s="4"/>
      <c r="AZ102" s="4"/>
    </row>
    <row r="103" spans="1:52" s="25" customFormat="1">
      <c r="A103" s="4"/>
      <c r="B103" s="21">
        <f t="shared" si="2"/>
        <v>91</v>
      </c>
      <c r="C103" s="6" t="s">
        <v>676</v>
      </c>
      <c r="D103" s="6" t="s">
        <v>703</v>
      </c>
      <c r="E103" s="8"/>
      <c r="F103" s="7" t="s">
        <v>318</v>
      </c>
      <c r="G103" s="7" t="str">
        <f t="shared" si="3"/>
        <v>text</v>
      </c>
      <c r="H103" s="58"/>
      <c r="I103" s="23"/>
      <c r="J103" s="24"/>
      <c r="L103" s="4"/>
      <c r="M103" s="4"/>
      <c r="N103" s="78"/>
      <c r="O103" s="78"/>
      <c r="P103" s="78" t="str">
        <f t="shared" si="12"/>
        <v>,a006031_shushoku_code4</v>
      </c>
      <c r="Q103" s="78" t="str">
        <f t="shared" si="13"/>
        <v>TEXT</v>
      </c>
      <c r="R103" s="78" t="str">
        <f t="shared" si="14"/>
        <v/>
      </c>
      <c r="S103" s="78" t="str">
        <f t="shared" si="15"/>
        <v/>
      </c>
      <c r="T103" s="78" t="str">
        <f t="shared" si="16"/>
        <v>-- 修飾語コード4</v>
      </c>
      <c r="U103" s="4"/>
      <c r="AA103" s="4"/>
      <c r="AB103" s="4"/>
      <c r="AC103" s="4"/>
      <c r="AD103" s="4"/>
      <c r="AE103" s="4"/>
      <c r="AF103" s="4"/>
      <c r="AG103" s="4"/>
      <c r="AH103" s="4"/>
      <c r="AI103" s="4"/>
      <c r="AJ103" s="78" t="str">
        <f>IF(E103="○",IF(COUNTA(E$13:E103)=1,"",",")&amp;D103,"")</f>
        <v/>
      </c>
      <c r="AK103" s="4"/>
      <c r="AL103" s="4"/>
      <c r="AM103" s="4"/>
      <c r="AN103" s="4"/>
      <c r="AO103" s="4"/>
      <c r="AP103" s="4"/>
      <c r="AQ103" s="4"/>
      <c r="AR103" s="4"/>
      <c r="AS103" s="78" t="str">
        <f>"COMMENT ON COLUMN "&amp;エンティティ一覧!$O$2&amp;"."&amp;D$8&amp;"."&amp;D103&amp;" IS '"&amp;C103&amp;"';"</f>
        <v>COMMENT ON COLUMN milscm_2023_010.azn_202310_base_merge_dpc_ff1.a006031_shushoku_code4 IS '修飾語コード4';</v>
      </c>
      <c r="AT103" s="4"/>
      <c r="AU103" s="4"/>
      <c r="AV103" s="4"/>
      <c r="AW103" s="4"/>
      <c r="AX103" s="4"/>
      <c r="AY103" s="4"/>
      <c r="AZ103" s="4"/>
    </row>
    <row r="104" spans="1:52" s="25" customFormat="1" ht="31.5">
      <c r="A104" s="4"/>
      <c r="B104" s="21">
        <f t="shared" si="2"/>
        <v>92</v>
      </c>
      <c r="C104" s="13" t="s">
        <v>704</v>
      </c>
      <c r="D104" s="13" t="s">
        <v>705</v>
      </c>
      <c r="E104" s="7"/>
      <c r="F104" s="7" t="s">
        <v>318</v>
      </c>
      <c r="G104" s="7" t="str">
        <f t="shared" si="3"/>
        <v>text</v>
      </c>
      <c r="H104" s="26"/>
      <c r="I104" s="10"/>
      <c r="J104" s="11" t="s">
        <v>841</v>
      </c>
      <c r="L104" s="4"/>
      <c r="M104" s="4"/>
      <c r="N104" s="78"/>
      <c r="O104" s="78"/>
      <c r="P104" s="78" t="str">
        <f t="shared" si="12"/>
        <v>,a006031_iryo2_shobyo_name</v>
      </c>
      <c r="Q104" s="78" t="str">
        <f t="shared" si="13"/>
        <v>TEXT</v>
      </c>
      <c r="R104" s="78" t="str">
        <f t="shared" si="14"/>
        <v/>
      </c>
      <c r="S104" s="78" t="str">
        <f t="shared" si="15"/>
        <v/>
      </c>
      <c r="T104" s="78" t="str">
        <f t="shared" si="16"/>
        <v>-- 医療資源を2番目に投入した傷病名</v>
      </c>
      <c r="U104" s="4"/>
      <c r="AA104" s="4"/>
      <c r="AB104" s="4"/>
      <c r="AC104" s="4"/>
      <c r="AD104" s="4"/>
      <c r="AE104" s="4"/>
      <c r="AF104" s="4"/>
      <c r="AG104" s="4"/>
      <c r="AH104" s="4"/>
      <c r="AI104" s="4"/>
      <c r="AJ104" s="78" t="str">
        <f>IF(E104="○",IF(COUNTA(E$13:E104)=1,"",",")&amp;D104,"")</f>
        <v/>
      </c>
      <c r="AK104" s="4"/>
      <c r="AL104" s="4"/>
      <c r="AM104" s="4"/>
      <c r="AN104" s="4"/>
      <c r="AO104" s="4"/>
      <c r="AP104" s="4"/>
      <c r="AQ104" s="4"/>
      <c r="AR104" s="4"/>
      <c r="AS104" s="78" t="str">
        <f>"COMMENT ON COLUMN "&amp;エンティティ一覧!$O$2&amp;"."&amp;D$8&amp;"."&amp;D104&amp;" IS '"&amp;C104&amp;"';"</f>
        <v>COMMENT ON COLUMN milscm_2023_010.azn_202310_base_merge_dpc_ff1.a006031_iryo2_shobyo_name IS '医療資源を2番目に投入した傷病名';</v>
      </c>
      <c r="AT104" s="4"/>
      <c r="AU104" s="4"/>
      <c r="AV104" s="4"/>
      <c r="AW104" s="4"/>
      <c r="AX104" s="4"/>
      <c r="AY104" s="4"/>
      <c r="AZ104" s="4"/>
    </row>
    <row r="105" spans="1:52" s="25" customFormat="1" ht="31.5">
      <c r="A105" s="4"/>
      <c r="B105" s="21">
        <f t="shared" si="2"/>
        <v>93</v>
      </c>
      <c r="C105" s="6" t="s">
        <v>706</v>
      </c>
      <c r="D105" s="6" t="s">
        <v>707</v>
      </c>
      <c r="E105" s="8"/>
      <c r="F105" s="7" t="s">
        <v>318</v>
      </c>
      <c r="G105" s="7" t="str">
        <f t="shared" si="3"/>
        <v>text</v>
      </c>
      <c r="H105" s="58"/>
      <c r="I105" s="23"/>
      <c r="J105" s="24"/>
      <c r="L105" s="4"/>
      <c r="M105" s="4"/>
      <c r="N105" s="78"/>
      <c r="O105" s="78"/>
      <c r="P105" s="78" t="str">
        <f t="shared" si="12"/>
        <v>,a006060_nanbyo_kokuji_no1</v>
      </c>
      <c r="Q105" s="78" t="str">
        <f t="shared" si="13"/>
        <v>TEXT</v>
      </c>
      <c r="R105" s="78" t="str">
        <f t="shared" si="14"/>
        <v/>
      </c>
      <c r="S105" s="78" t="str">
        <f t="shared" si="15"/>
        <v/>
      </c>
      <c r="T105" s="78" t="str">
        <f t="shared" si="16"/>
        <v>-- 難病の告示番号1</v>
      </c>
      <c r="U105" s="4"/>
      <c r="AA105" s="4"/>
      <c r="AB105" s="4"/>
      <c r="AC105" s="4"/>
      <c r="AD105" s="4"/>
      <c r="AE105" s="4"/>
      <c r="AF105" s="4"/>
      <c r="AG105" s="4"/>
      <c r="AH105" s="4"/>
      <c r="AI105" s="4"/>
      <c r="AJ105" s="78" t="str">
        <f>IF(E105="○",IF(COUNTA(E$13:E105)=1,"",",")&amp;D105,"")</f>
        <v/>
      </c>
      <c r="AK105" s="4"/>
      <c r="AL105" s="4"/>
      <c r="AM105" s="4"/>
      <c r="AN105" s="4"/>
      <c r="AO105" s="4"/>
      <c r="AP105" s="4"/>
      <c r="AQ105" s="4"/>
      <c r="AR105" s="4"/>
      <c r="AS105" s="78" t="str">
        <f>"COMMENT ON COLUMN "&amp;エンティティ一覧!$O$2&amp;"."&amp;D$8&amp;"."&amp;D105&amp;" IS '"&amp;C105&amp;"';"</f>
        <v>COMMENT ON COLUMN milscm_2023_010.azn_202310_base_merge_dpc_ff1.a006060_nanbyo_kokuji_no1 IS '難病の告示番号1';</v>
      </c>
      <c r="AT105" s="4"/>
      <c r="AU105" s="4"/>
      <c r="AV105" s="4"/>
      <c r="AW105" s="4"/>
      <c r="AX105" s="4"/>
      <c r="AY105" s="4"/>
      <c r="AZ105" s="4"/>
    </row>
    <row r="106" spans="1:52" s="25" customFormat="1" ht="31.5">
      <c r="A106" s="4"/>
      <c r="B106" s="21">
        <f t="shared" si="2"/>
        <v>94</v>
      </c>
      <c r="C106" s="6" t="s">
        <v>708</v>
      </c>
      <c r="D106" s="6" t="s">
        <v>709</v>
      </c>
      <c r="E106" s="8"/>
      <c r="F106" s="7" t="s">
        <v>318</v>
      </c>
      <c r="G106" s="7" t="str">
        <f t="shared" si="3"/>
        <v>text</v>
      </c>
      <c r="H106" s="58"/>
      <c r="I106" s="23"/>
      <c r="J106" s="24" t="s">
        <v>842</v>
      </c>
      <c r="L106" s="4"/>
      <c r="M106" s="4"/>
      <c r="N106" s="78"/>
      <c r="O106" s="78"/>
      <c r="P106" s="78" t="str">
        <f t="shared" si="12"/>
        <v>,a006060_iryohi_josei_flag1</v>
      </c>
      <c r="Q106" s="78" t="str">
        <f t="shared" si="13"/>
        <v>TEXT</v>
      </c>
      <c r="R106" s="78" t="str">
        <f t="shared" si="14"/>
        <v/>
      </c>
      <c r="S106" s="78" t="str">
        <f t="shared" si="15"/>
        <v/>
      </c>
      <c r="T106" s="78" t="str">
        <f t="shared" si="16"/>
        <v>-- 医療費助成の有無1</v>
      </c>
      <c r="U106" s="4"/>
      <c r="AA106" s="4"/>
      <c r="AB106" s="4"/>
      <c r="AC106" s="4"/>
      <c r="AD106" s="4"/>
      <c r="AE106" s="4"/>
      <c r="AF106" s="4"/>
      <c r="AG106" s="4"/>
      <c r="AH106" s="4"/>
      <c r="AI106" s="4"/>
      <c r="AJ106" s="78" t="str">
        <f>IF(E106="○",IF(COUNTA(E$13:E106)=1,"",",")&amp;D106,"")</f>
        <v/>
      </c>
      <c r="AK106" s="4"/>
      <c r="AL106" s="4"/>
      <c r="AM106" s="4"/>
      <c r="AN106" s="4"/>
      <c r="AO106" s="4"/>
      <c r="AP106" s="4"/>
      <c r="AQ106" s="4"/>
      <c r="AR106" s="4"/>
      <c r="AS106" s="78" t="str">
        <f>"COMMENT ON COLUMN "&amp;エンティティ一覧!$O$2&amp;"."&amp;D$8&amp;"."&amp;D106&amp;" IS '"&amp;C106&amp;"';"</f>
        <v>COMMENT ON COLUMN milscm_2023_010.azn_202310_base_merge_dpc_ff1.a006060_iryohi_josei_flag1 IS '医療費助成の有無1';</v>
      </c>
      <c r="AT106" s="4"/>
      <c r="AU106" s="4"/>
      <c r="AV106" s="4"/>
      <c r="AW106" s="4"/>
      <c r="AX106" s="4"/>
      <c r="AY106" s="4"/>
      <c r="AZ106" s="4"/>
    </row>
    <row r="107" spans="1:52" s="25" customFormat="1" ht="31.5">
      <c r="A107" s="4"/>
      <c r="B107" s="21">
        <f t="shared" si="2"/>
        <v>95</v>
      </c>
      <c r="C107" s="13" t="s">
        <v>710</v>
      </c>
      <c r="D107" s="13" t="s">
        <v>711</v>
      </c>
      <c r="E107" s="7"/>
      <c r="F107" s="7" t="s">
        <v>318</v>
      </c>
      <c r="G107" s="7" t="str">
        <f t="shared" si="3"/>
        <v>text</v>
      </c>
      <c r="H107" s="26"/>
      <c r="I107" s="10"/>
      <c r="J107" s="11"/>
      <c r="L107" s="4"/>
      <c r="M107" s="4"/>
      <c r="N107" s="78"/>
      <c r="O107" s="78"/>
      <c r="P107" s="78" t="str">
        <f t="shared" si="12"/>
        <v>,a006060_nanbyo_kokuji_no2</v>
      </c>
      <c r="Q107" s="78" t="str">
        <f t="shared" si="13"/>
        <v>TEXT</v>
      </c>
      <c r="R107" s="78" t="str">
        <f t="shared" si="14"/>
        <v/>
      </c>
      <c r="S107" s="78" t="str">
        <f t="shared" si="15"/>
        <v/>
      </c>
      <c r="T107" s="78" t="str">
        <f t="shared" si="16"/>
        <v>-- 難病の告示番号2</v>
      </c>
      <c r="U107" s="4"/>
      <c r="AA107" s="4"/>
      <c r="AB107" s="4"/>
      <c r="AC107" s="4"/>
      <c r="AD107" s="4"/>
      <c r="AE107" s="4"/>
      <c r="AF107" s="4"/>
      <c r="AG107" s="4"/>
      <c r="AH107" s="4"/>
      <c r="AI107" s="4"/>
      <c r="AJ107" s="78" t="str">
        <f>IF(E107="○",IF(COUNTA(E$13:E107)=1,"",",")&amp;D107,"")</f>
        <v/>
      </c>
      <c r="AK107" s="4"/>
      <c r="AL107" s="4"/>
      <c r="AM107" s="4"/>
      <c r="AN107" s="4"/>
      <c r="AO107" s="4"/>
      <c r="AP107" s="4"/>
      <c r="AQ107" s="4"/>
      <c r="AR107" s="4"/>
      <c r="AS107" s="78" t="str">
        <f>"COMMENT ON COLUMN "&amp;エンティティ一覧!$O$2&amp;"."&amp;D$8&amp;"."&amp;D107&amp;" IS '"&amp;C107&amp;"';"</f>
        <v>COMMENT ON COLUMN milscm_2023_010.azn_202310_base_merge_dpc_ff1.a006060_nanbyo_kokuji_no2 IS '難病の告示番号2';</v>
      </c>
      <c r="AT107" s="4"/>
      <c r="AU107" s="4"/>
      <c r="AV107" s="4"/>
      <c r="AW107" s="4"/>
      <c r="AX107" s="4"/>
      <c r="AY107" s="4"/>
      <c r="AZ107" s="4"/>
    </row>
    <row r="108" spans="1:52" s="25" customFormat="1" ht="31.5">
      <c r="A108" s="4"/>
      <c r="B108" s="21">
        <f t="shared" si="2"/>
        <v>96</v>
      </c>
      <c r="C108" s="6" t="s">
        <v>712</v>
      </c>
      <c r="D108" s="6" t="s">
        <v>713</v>
      </c>
      <c r="E108" s="8"/>
      <c r="F108" s="7" t="s">
        <v>318</v>
      </c>
      <c r="G108" s="7" t="str">
        <f t="shared" si="3"/>
        <v>text</v>
      </c>
      <c r="H108" s="26"/>
      <c r="I108" s="10"/>
      <c r="J108" s="11" t="s">
        <v>842</v>
      </c>
      <c r="L108" s="4"/>
      <c r="M108" s="4"/>
      <c r="N108" s="78"/>
      <c r="O108" s="78"/>
      <c r="P108" s="78" t="str">
        <f t="shared" si="12"/>
        <v>,a006060_iryohi_josei_flag2</v>
      </c>
      <c r="Q108" s="78" t="str">
        <f t="shared" si="13"/>
        <v>TEXT</v>
      </c>
      <c r="R108" s="78" t="str">
        <f t="shared" si="14"/>
        <v/>
      </c>
      <c r="S108" s="78" t="str">
        <f t="shared" si="15"/>
        <v/>
      </c>
      <c r="T108" s="78" t="str">
        <f t="shared" si="16"/>
        <v>-- 医療費助成の有無2</v>
      </c>
      <c r="U108" s="4"/>
      <c r="AA108" s="4"/>
      <c r="AB108" s="4"/>
      <c r="AC108" s="4"/>
      <c r="AD108" s="4"/>
      <c r="AE108" s="4"/>
      <c r="AF108" s="4"/>
      <c r="AG108" s="4"/>
      <c r="AH108" s="4"/>
      <c r="AI108" s="4"/>
      <c r="AJ108" s="78" t="str">
        <f>IF(E108="○",IF(COUNTA(E$13:E108)=1,"",",")&amp;D108,"")</f>
        <v/>
      </c>
      <c r="AK108" s="4"/>
      <c r="AL108" s="4"/>
      <c r="AM108" s="4"/>
      <c r="AN108" s="4"/>
      <c r="AO108" s="4"/>
      <c r="AP108" s="4"/>
      <c r="AQ108" s="4"/>
      <c r="AR108" s="4"/>
      <c r="AS108" s="78" t="str">
        <f>"COMMENT ON COLUMN "&amp;エンティティ一覧!$O$2&amp;"."&amp;D$8&amp;"."&amp;D108&amp;" IS '"&amp;C108&amp;"';"</f>
        <v>COMMENT ON COLUMN milscm_2023_010.azn_202310_base_merge_dpc_ff1.a006060_iryohi_josei_flag2 IS '医療費助成の有無2';</v>
      </c>
      <c r="AT108" s="4"/>
      <c r="AU108" s="4"/>
      <c r="AV108" s="4"/>
      <c r="AW108" s="4"/>
      <c r="AX108" s="4"/>
      <c r="AY108" s="4"/>
      <c r="AZ108" s="4"/>
    </row>
    <row r="109" spans="1:52" s="25" customFormat="1">
      <c r="A109" s="4"/>
      <c r="B109" s="21">
        <f t="shared" si="2"/>
        <v>97</v>
      </c>
      <c r="C109" s="13" t="s">
        <v>714</v>
      </c>
      <c r="D109" s="13" t="s">
        <v>715</v>
      </c>
      <c r="E109" s="7"/>
      <c r="F109" s="7" t="s">
        <v>318</v>
      </c>
      <c r="G109" s="7" t="str">
        <f t="shared" si="3"/>
        <v>text</v>
      </c>
      <c r="H109" s="58"/>
      <c r="I109" s="23"/>
      <c r="J109" s="24" t="s">
        <v>843</v>
      </c>
      <c r="L109" s="4"/>
      <c r="M109" s="4"/>
      <c r="N109" s="78"/>
      <c r="O109" s="78"/>
      <c r="P109" s="78" t="str">
        <f t="shared" si="12"/>
        <v>,adl0010_nyuin_adl</v>
      </c>
      <c r="Q109" s="78" t="str">
        <f t="shared" si="13"/>
        <v>TEXT</v>
      </c>
      <c r="R109" s="78" t="str">
        <f t="shared" si="14"/>
        <v/>
      </c>
      <c r="S109" s="78" t="str">
        <f t="shared" si="15"/>
        <v/>
      </c>
      <c r="T109" s="78" t="str">
        <f t="shared" si="16"/>
        <v>-- 入院時のADLスコア</v>
      </c>
      <c r="U109" s="4"/>
      <c r="AA109" s="4"/>
      <c r="AB109" s="4"/>
      <c r="AC109" s="4"/>
      <c r="AD109" s="4"/>
      <c r="AE109" s="4"/>
      <c r="AF109" s="4"/>
      <c r="AG109" s="4"/>
      <c r="AH109" s="4"/>
      <c r="AI109" s="4"/>
      <c r="AJ109" s="78" t="str">
        <f>IF(E109="○",IF(COUNTA(E$13:E109)=1,"",",")&amp;D109,"")</f>
        <v/>
      </c>
      <c r="AK109" s="4"/>
      <c r="AL109" s="4"/>
      <c r="AM109" s="4"/>
      <c r="AN109" s="4"/>
      <c r="AO109" s="4"/>
      <c r="AP109" s="4"/>
      <c r="AQ109" s="4"/>
      <c r="AR109" s="4"/>
      <c r="AS109" s="78" t="str">
        <f>"COMMENT ON COLUMN "&amp;エンティティ一覧!$O$2&amp;"."&amp;D$8&amp;"."&amp;D109&amp;" IS '"&amp;C109&amp;"';"</f>
        <v>COMMENT ON COLUMN milscm_2023_010.azn_202310_base_merge_dpc_ff1.adl0010_nyuin_adl IS '入院時のADLスコア';</v>
      </c>
      <c r="AT109" s="4"/>
      <c r="AU109" s="4"/>
      <c r="AV109" s="4"/>
      <c r="AW109" s="4"/>
      <c r="AX109" s="4"/>
      <c r="AY109" s="4"/>
      <c r="AZ109" s="4"/>
    </row>
    <row r="110" spans="1:52" s="25" customFormat="1">
      <c r="A110" s="4"/>
      <c r="B110" s="21">
        <f t="shared" si="2"/>
        <v>98</v>
      </c>
      <c r="C110" s="6" t="s">
        <v>716</v>
      </c>
      <c r="D110" s="6" t="s">
        <v>717</v>
      </c>
      <c r="E110" s="8"/>
      <c r="F110" s="7" t="s">
        <v>318</v>
      </c>
      <c r="G110" s="7" t="str">
        <f t="shared" si="3"/>
        <v>text</v>
      </c>
      <c r="H110" s="26"/>
      <c r="I110" s="10"/>
      <c r="J110" s="11" t="s">
        <v>843</v>
      </c>
      <c r="L110" s="4"/>
      <c r="M110" s="4"/>
      <c r="N110" s="78"/>
      <c r="O110" s="78"/>
      <c r="P110" s="78" t="str">
        <f t="shared" si="12"/>
        <v>,adl0020_taiin_adl</v>
      </c>
      <c r="Q110" s="78" t="str">
        <f t="shared" si="13"/>
        <v>TEXT</v>
      </c>
      <c r="R110" s="78" t="str">
        <f t="shared" si="14"/>
        <v/>
      </c>
      <c r="S110" s="78" t="str">
        <f t="shared" si="15"/>
        <v/>
      </c>
      <c r="T110" s="78" t="str">
        <f t="shared" si="16"/>
        <v>-- 退院時のADLスコア</v>
      </c>
      <c r="U110" s="4"/>
      <c r="AA110" s="4"/>
      <c r="AB110" s="4"/>
      <c r="AC110" s="4"/>
      <c r="AD110" s="4"/>
      <c r="AE110" s="4"/>
      <c r="AF110" s="4"/>
      <c r="AG110" s="4"/>
      <c r="AH110" s="4"/>
      <c r="AI110" s="4"/>
      <c r="AJ110" s="78" t="str">
        <f>IF(E110="○",IF(COUNTA(E$13:E110)=1,"",",")&amp;D110,"")</f>
        <v/>
      </c>
      <c r="AK110" s="4"/>
      <c r="AL110" s="4"/>
      <c r="AM110" s="4"/>
      <c r="AN110" s="4"/>
      <c r="AO110" s="4"/>
      <c r="AP110" s="4"/>
      <c r="AQ110" s="4"/>
      <c r="AR110" s="4"/>
      <c r="AS110" s="78" t="str">
        <f>"COMMENT ON COLUMN "&amp;エンティティ一覧!$O$2&amp;"."&amp;D$8&amp;"."&amp;D110&amp;" IS '"&amp;C110&amp;"';"</f>
        <v>COMMENT ON COLUMN milscm_2023_010.azn_202310_base_merge_dpc_ff1.adl0020_taiin_adl IS '退院時のADLスコア';</v>
      </c>
      <c r="AT110" s="4"/>
      <c r="AU110" s="4"/>
      <c r="AV110" s="4"/>
      <c r="AW110" s="4"/>
      <c r="AX110" s="4"/>
      <c r="AY110" s="4"/>
      <c r="AZ110" s="4"/>
    </row>
    <row r="111" spans="1:52" s="25" customFormat="1">
      <c r="A111" s="4"/>
      <c r="B111" s="21">
        <f t="shared" si="2"/>
        <v>99</v>
      </c>
      <c r="C111" s="13" t="s">
        <v>718</v>
      </c>
      <c r="D111" s="13" t="s">
        <v>719</v>
      </c>
      <c r="E111" s="7"/>
      <c r="F111" s="7" t="s">
        <v>318</v>
      </c>
      <c r="G111" s="7" t="str">
        <f t="shared" si="3"/>
        <v>text</v>
      </c>
      <c r="H111" s="58"/>
      <c r="I111" s="23"/>
      <c r="J111" s="24" t="s">
        <v>843</v>
      </c>
      <c r="L111" s="4"/>
      <c r="M111" s="4"/>
      <c r="N111" s="78"/>
      <c r="O111" s="78"/>
      <c r="P111" s="78" t="str">
        <f t="shared" si="12"/>
        <v>,adl0030_nyutou_adl</v>
      </c>
      <c r="Q111" s="78" t="str">
        <f t="shared" si="13"/>
        <v>TEXT</v>
      </c>
      <c r="R111" s="78" t="str">
        <f t="shared" si="14"/>
        <v/>
      </c>
      <c r="S111" s="78" t="str">
        <f t="shared" si="15"/>
        <v/>
      </c>
      <c r="T111" s="78" t="str">
        <f t="shared" si="16"/>
        <v>-- 入棟・入室時のADLスコア</v>
      </c>
      <c r="U111" s="4"/>
      <c r="AA111" s="4"/>
      <c r="AB111" s="4"/>
      <c r="AC111" s="4"/>
      <c r="AD111" s="4"/>
      <c r="AE111" s="4"/>
      <c r="AF111" s="4"/>
      <c r="AG111" s="4"/>
      <c r="AH111" s="4"/>
      <c r="AI111" s="4"/>
      <c r="AJ111" s="78" t="str">
        <f>IF(E111="○",IF(COUNTA(E$13:E111)=1,"",",")&amp;D111,"")</f>
        <v/>
      </c>
      <c r="AK111" s="4"/>
      <c r="AL111" s="4"/>
      <c r="AM111" s="4"/>
      <c r="AN111" s="4"/>
      <c r="AO111" s="4"/>
      <c r="AP111" s="4"/>
      <c r="AQ111" s="4"/>
      <c r="AR111" s="4"/>
      <c r="AS111" s="78" t="str">
        <f>"COMMENT ON COLUMN "&amp;エンティティ一覧!$O$2&amp;"."&amp;D$8&amp;"."&amp;D111&amp;" IS '"&amp;C111&amp;"';"</f>
        <v>COMMENT ON COLUMN milscm_2023_010.azn_202310_base_merge_dpc_ff1.adl0030_nyutou_adl IS '入棟・入室時のADLスコア';</v>
      </c>
      <c r="AT111" s="4"/>
      <c r="AU111" s="4"/>
      <c r="AV111" s="4"/>
      <c r="AW111" s="4"/>
      <c r="AX111" s="4"/>
      <c r="AY111" s="4"/>
      <c r="AZ111" s="4"/>
    </row>
    <row r="112" spans="1:52" s="25" customFormat="1">
      <c r="A112" s="4"/>
      <c r="B112" s="21">
        <f t="shared" si="2"/>
        <v>100</v>
      </c>
      <c r="C112" s="6" t="s">
        <v>720</v>
      </c>
      <c r="D112" s="6" t="s">
        <v>721</v>
      </c>
      <c r="E112" s="8"/>
      <c r="F112" s="7" t="s">
        <v>318</v>
      </c>
      <c r="G112" s="7" t="str">
        <f t="shared" si="3"/>
        <v>text</v>
      </c>
      <c r="H112" s="26"/>
      <c r="I112" s="10"/>
      <c r="J112" s="11" t="s">
        <v>843</v>
      </c>
      <c r="L112" s="4"/>
      <c r="M112" s="4"/>
      <c r="N112" s="78"/>
      <c r="O112" s="78"/>
      <c r="P112" s="78" t="str">
        <f t="shared" si="12"/>
        <v>,adl0040_taitou_adl</v>
      </c>
      <c r="Q112" s="78" t="str">
        <f t="shared" si="13"/>
        <v>TEXT</v>
      </c>
      <c r="R112" s="78" t="str">
        <f t="shared" si="14"/>
        <v/>
      </c>
      <c r="S112" s="78" t="str">
        <f t="shared" si="15"/>
        <v/>
      </c>
      <c r="T112" s="78" t="str">
        <f t="shared" si="16"/>
        <v>-- 退棟・退室時のADLスコア</v>
      </c>
      <c r="U112" s="4"/>
      <c r="AA112" s="4"/>
      <c r="AB112" s="4"/>
      <c r="AC112" s="4"/>
      <c r="AD112" s="4"/>
      <c r="AE112" s="4"/>
      <c r="AF112" s="4"/>
      <c r="AG112" s="4"/>
      <c r="AH112" s="4"/>
      <c r="AI112" s="4"/>
      <c r="AJ112" s="78" t="str">
        <f>IF(E112="○",IF(COUNTA(E$13:E112)=1,"",",")&amp;D112,"")</f>
        <v/>
      </c>
      <c r="AK112" s="4"/>
      <c r="AL112" s="4"/>
      <c r="AM112" s="4"/>
      <c r="AN112" s="4"/>
      <c r="AO112" s="4"/>
      <c r="AP112" s="4"/>
      <c r="AQ112" s="4"/>
      <c r="AR112" s="4"/>
      <c r="AS112" s="78" t="str">
        <f>"COMMENT ON COLUMN "&amp;エンティティ一覧!$O$2&amp;"."&amp;D$8&amp;"."&amp;D112&amp;" IS '"&amp;C112&amp;"';"</f>
        <v>COMMENT ON COLUMN milscm_2023_010.azn_202310_base_merge_dpc_ff1.adl0040_taitou_adl IS '退棟・退室時のADLスコア';</v>
      </c>
      <c r="AT112" s="4"/>
      <c r="AU112" s="4"/>
      <c r="AV112" s="4"/>
      <c r="AW112" s="4"/>
      <c r="AX112" s="4"/>
      <c r="AY112" s="4"/>
      <c r="AZ112" s="4"/>
    </row>
    <row r="113" spans="1:52" s="25" customFormat="1">
      <c r="A113" s="4"/>
      <c r="B113" s="21">
        <f t="shared" si="2"/>
        <v>101</v>
      </c>
      <c r="C113" s="13" t="s">
        <v>722</v>
      </c>
      <c r="D113" s="13" t="s">
        <v>723</v>
      </c>
      <c r="E113" s="7"/>
      <c r="F113" s="7" t="s">
        <v>318</v>
      </c>
      <c r="G113" s="7" t="str">
        <f t="shared" si="3"/>
        <v>text</v>
      </c>
      <c r="H113" s="58"/>
      <c r="I113" s="23"/>
      <c r="J113" s="24" t="s">
        <v>844</v>
      </c>
      <c r="L113" s="4"/>
      <c r="M113" s="4"/>
      <c r="N113" s="78"/>
      <c r="O113" s="78"/>
      <c r="P113" s="78" t="str">
        <f t="shared" si="12"/>
        <v>,can0010_gan_shohatsu</v>
      </c>
      <c r="Q113" s="78" t="str">
        <f t="shared" si="13"/>
        <v>TEXT</v>
      </c>
      <c r="R113" s="78" t="str">
        <f t="shared" si="14"/>
        <v/>
      </c>
      <c r="S113" s="78" t="str">
        <f t="shared" si="15"/>
        <v/>
      </c>
      <c r="T113" s="78" t="str">
        <f t="shared" si="16"/>
        <v>-- がんの初発、再発</v>
      </c>
      <c r="U113" s="4"/>
      <c r="AA113" s="4"/>
      <c r="AB113" s="4"/>
      <c r="AC113" s="4"/>
      <c r="AD113" s="4"/>
      <c r="AE113" s="4"/>
      <c r="AF113" s="4"/>
      <c r="AG113" s="4"/>
      <c r="AH113" s="4"/>
      <c r="AI113" s="4"/>
      <c r="AJ113" s="78" t="str">
        <f>IF(E113="○",IF(COUNTA(E$13:E113)=1,"",",")&amp;D113,"")</f>
        <v/>
      </c>
      <c r="AK113" s="4"/>
      <c r="AL113" s="4"/>
      <c r="AM113" s="4"/>
      <c r="AN113" s="4"/>
      <c r="AO113" s="4"/>
      <c r="AP113" s="4"/>
      <c r="AQ113" s="4"/>
      <c r="AR113" s="4"/>
      <c r="AS113" s="78" t="str">
        <f>"COMMENT ON COLUMN "&amp;エンティティ一覧!$O$2&amp;"."&amp;D$8&amp;"."&amp;D113&amp;" IS '"&amp;C113&amp;"';"</f>
        <v>COMMENT ON COLUMN milscm_2023_010.azn_202310_base_merge_dpc_ff1.can0010_gan_shohatsu IS 'がんの初発、再発';</v>
      </c>
      <c r="AT113" s="4"/>
      <c r="AU113" s="4"/>
      <c r="AV113" s="4"/>
      <c r="AW113" s="4"/>
      <c r="AX113" s="4"/>
      <c r="AY113" s="4"/>
      <c r="AZ113" s="4"/>
    </row>
    <row r="114" spans="1:52" s="25" customFormat="1">
      <c r="A114" s="4"/>
      <c r="B114" s="21">
        <f t="shared" si="2"/>
        <v>102</v>
      </c>
      <c r="C114" s="6" t="s">
        <v>724</v>
      </c>
      <c r="D114" s="6" t="s">
        <v>725</v>
      </c>
      <c r="E114" s="8"/>
      <c r="F114" s="7" t="s">
        <v>318</v>
      </c>
      <c r="G114" s="7" t="str">
        <f t="shared" si="3"/>
        <v>text</v>
      </c>
      <c r="H114" s="26"/>
      <c r="I114" s="10"/>
      <c r="J114" s="11"/>
      <c r="L114" s="4"/>
      <c r="M114" s="4"/>
      <c r="N114" s="78"/>
      <c r="O114" s="78"/>
      <c r="P114" s="78" t="str">
        <f t="shared" si="12"/>
        <v>,can0020_uicc_t</v>
      </c>
      <c r="Q114" s="78" t="str">
        <f t="shared" si="13"/>
        <v>TEXT</v>
      </c>
      <c r="R114" s="78" t="str">
        <f t="shared" si="14"/>
        <v/>
      </c>
      <c r="S114" s="78" t="str">
        <f t="shared" si="15"/>
        <v/>
      </c>
      <c r="T114" s="78" t="str">
        <f t="shared" si="16"/>
        <v>-- UICC病期分類（T）</v>
      </c>
      <c r="U114" s="4"/>
      <c r="AA114" s="4"/>
      <c r="AB114" s="4"/>
      <c r="AC114" s="4"/>
      <c r="AD114" s="4"/>
      <c r="AE114" s="4"/>
      <c r="AF114" s="4"/>
      <c r="AG114" s="4"/>
      <c r="AH114" s="4"/>
      <c r="AI114" s="4"/>
      <c r="AJ114" s="78" t="str">
        <f>IF(E114="○",IF(COUNTA(E$13:E114)=1,"",",")&amp;D114,"")</f>
        <v/>
      </c>
      <c r="AK114" s="4"/>
      <c r="AL114" s="4"/>
      <c r="AM114" s="4"/>
      <c r="AN114" s="4"/>
      <c r="AO114" s="4"/>
      <c r="AP114" s="4"/>
      <c r="AQ114" s="4"/>
      <c r="AR114" s="4"/>
      <c r="AS114" s="78" t="str">
        <f>"COMMENT ON COLUMN "&amp;エンティティ一覧!$O$2&amp;"."&amp;D$8&amp;"."&amp;D114&amp;" IS '"&amp;C114&amp;"';"</f>
        <v>COMMENT ON COLUMN milscm_2023_010.azn_202310_base_merge_dpc_ff1.can0020_uicc_t IS 'UICC病期分類（T）';</v>
      </c>
      <c r="AT114" s="4"/>
      <c r="AU114" s="4"/>
      <c r="AV114" s="4"/>
      <c r="AW114" s="4"/>
      <c r="AX114" s="4"/>
      <c r="AY114" s="4"/>
      <c r="AZ114" s="4"/>
    </row>
    <row r="115" spans="1:52" s="25" customFormat="1">
      <c r="A115" s="4"/>
      <c r="B115" s="21">
        <f t="shared" si="2"/>
        <v>103</v>
      </c>
      <c r="C115" s="13" t="s">
        <v>726</v>
      </c>
      <c r="D115" s="13" t="s">
        <v>727</v>
      </c>
      <c r="E115" s="7"/>
      <c r="F115" s="7" t="s">
        <v>318</v>
      </c>
      <c r="G115" s="7" t="str">
        <f t="shared" si="3"/>
        <v>text</v>
      </c>
      <c r="H115" s="58"/>
      <c r="I115" s="23"/>
      <c r="J115" s="24"/>
      <c r="L115" s="4"/>
      <c r="M115" s="4"/>
      <c r="N115" s="78"/>
      <c r="O115" s="78"/>
      <c r="P115" s="78" t="str">
        <f t="shared" si="12"/>
        <v>,can0020_uicc_n</v>
      </c>
      <c r="Q115" s="78" t="str">
        <f t="shared" si="13"/>
        <v>TEXT</v>
      </c>
      <c r="R115" s="78" t="str">
        <f t="shared" si="14"/>
        <v/>
      </c>
      <c r="S115" s="78" t="str">
        <f t="shared" si="15"/>
        <v/>
      </c>
      <c r="T115" s="78" t="str">
        <f t="shared" si="16"/>
        <v>-- UICC病期分類（N）</v>
      </c>
      <c r="U115" s="4"/>
      <c r="AA115" s="4"/>
      <c r="AB115" s="4"/>
      <c r="AC115" s="4"/>
      <c r="AD115" s="4"/>
      <c r="AE115" s="4"/>
      <c r="AF115" s="4"/>
      <c r="AG115" s="4"/>
      <c r="AH115" s="4"/>
      <c r="AI115" s="4"/>
      <c r="AJ115" s="78" t="str">
        <f>IF(E115="○",IF(COUNTA(E$13:E115)=1,"",",")&amp;D115,"")</f>
        <v/>
      </c>
      <c r="AK115" s="4"/>
      <c r="AL115" s="4"/>
      <c r="AM115" s="4"/>
      <c r="AN115" s="4"/>
      <c r="AO115" s="4"/>
      <c r="AP115" s="4"/>
      <c r="AQ115" s="4"/>
      <c r="AR115" s="4"/>
      <c r="AS115" s="78" t="str">
        <f>"COMMENT ON COLUMN "&amp;エンティティ一覧!$O$2&amp;"."&amp;D$8&amp;"."&amp;D115&amp;" IS '"&amp;C115&amp;"';"</f>
        <v>COMMENT ON COLUMN milscm_2023_010.azn_202310_base_merge_dpc_ff1.can0020_uicc_n IS 'UICC病期分類（N）';</v>
      </c>
      <c r="AT115" s="4"/>
      <c r="AU115" s="4"/>
      <c r="AV115" s="4"/>
      <c r="AW115" s="4"/>
      <c r="AX115" s="4"/>
      <c r="AY115" s="4"/>
      <c r="AZ115" s="4"/>
    </row>
    <row r="116" spans="1:52" s="25" customFormat="1">
      <c r="A116" s="4"/>
      <c r="B116" s="21">
        <f t="shared" si="2"/>
        <v>104</v>
      </c>
      <c r="C116" s="13" t="s">
        <v>728</v>
      </c>
      <c r="D116" s="13" t="s">
        <v>729</v>
      </c>
      <c r="E116" s="7"/>
      <c r="F116" s="7" t="s">
        <v>318</v>
      </c>
      <c r="G116" s="7" t="str">
        <f t="shared" si="3"/>
        <v>text</v>
      </c>
      <c r="H116" s="26"/>
      <c r="I116" s="10"/>
      <c r="J116" s="11"/>
      <c r="L116" s="4"/>
      <c r="M116" s="4"/>
      <c r="N116" s="78"/>
      <c r="O116" s="78"/>
      <c r="P116" s="78" t="str">
        <f t="shared" si="12"/>
        <v>,can0020_uicc_m</v>
      </c>
      <c r="Q116" s="78" t="str">
        <f t="shared" si="13"/>
        <v>TEXT</v>
      </c>
      <c r="R116" s="78" t="str">
        <f t="shared" si="14"/>
        <v/>
      </c>
      <c r="S116" s="78" t="str">
        <f t="shared" si="15"/>
        <v/>
      </c>
      <c r="T116" s="78" t="str">
        <f t="shared" si="16"/>
        <v>-- UICC病期分類（M）</v>
      </c>
      <c r="U116" s="4"/>
      <c r="AA116" s="4"/>
      <c r="AB116" s="4"/>
      <c r="AC116" s="4"/>
      <c r="AD116" s="4"/>
      <c r="AE116" s="4"/>
      <c r="AF116" s="4"/>
      <c r="AG116" s="4"/>
      <c r="AH116" s="4"/>
      <c r="AI116" s="4"/>
      <c r="AJ116" s="78" t="str">
        <f>IF(E116="○",IF(COUNTA(E$13:E116)=1,"",",")&amp;D116,"")</f>
        <v/>
      </c>
      <c r="AK116" s="4"/>
      <c r="AL116" s="4"/>
      <c r="AM116" s="4"/>
      <c r="AN116" s="4"/>
      <c r="AO116" s="4"/>
      <c r="AP116" s="4"/>
      <c r="AQ116" s="4"/>
      <c r="AR116" s="4"/>
      <c r="AS116" s="78" t="str">
        <f>"COMMENT ON COLUMN "&amp;エンティティ一覧!$O$2&amp;"."&amp;D$8&amp;"."&amp;D116&amp;" IS '"&amp;C116&amp;"';"</f>
        <v>COMMENT ON COLUMN milscm_2023_010.azn_202310_base_merge_dpc_ff1.can0020_uicc_m IS 'UICC病期分類（M）';</v>
      </c>
      <c r="AT116" s="4"/>
      <c r="AU116" s="4"/>
      <c r="AV116" s="4"/>
      <c r="AW116" s="4"/>
      <c r="AX116" s="4"/>
      <c r="AY116" s="4"/>
      <c r="AZ116" s="4"/>
    </row>
    <row r="117" spans="1:52" s="25" customFormat="1">
      <c r="A117" s="4"/>
      <c r="B117" s="21">
        <f t="shared" si="2"/>
        <v>105</v>
      </c>
      <c r="C117" s="13" t="s">
        <v>730</v>
      </c>
      <c r="D117" s="13" t="s">
        <v>731</v>
      </c>
      <c r="E117" s="7"/>
      <c r="F117" s="7" t="s">
        <v>318</v>
      </c>
      <c r="G117" s="7" t="str">
        <f t="shared" si="3"/>
        <v>text</v>
      </c>
      <c r="H117" s="58"/>
      <c r="I117" s="23"/>
      <c r="J117" s="24" t="s">
        <v>845</v>
      </c>
      <c r="L117" s="4"/>
      <c r="M117" s="4"/>
      <c r="N117" s="78"/>
      <c r="O117" s="78"/>
      <c r="P117" s="78" t="str">
        <f t="shared" si="12"/>
        <v>,can0020_uicc_han</v>
      </c>
      <c r="Q117" s="78" t="str">
        <f t="shared" si="13"/>
        <v>TEXT</v>
      </c>
      <c r="R117" s="78" t="str">
        <f t="shared" si="14"/>
        <v/>
      </c>
      <c r="S117" s="78" t="str">
        <f t="shared" si="15"/>
        <v/>
      </c>
      <c r="T117" s="78" t="str">
        <f t="shared" si="16"/>
        <v>-- UICC病期分類（版）</v>
      </c>
      <c r="U117" s="4"/>
      <c r="AA117" s="4"/>
      <c r="AB117" s="4"/>
      <c r="AC117" s="4"/>
      <c r="AD117" s="4"/>
      <c r="AE117" s="4"/>
      <c r="AF117" s="4"/>
      <c r="AG117" s="4"/>
      <c r="AH117" s="4"/>
      <c r="AI117" s="4"/>
      <c r="AJ117" s="78" t="str">
        <f>IF(E117="○",IF(COUNTA(E$13:E117)=1,"",",")&amp;D117,"")</f>
        <v/>
      </c>
      <c r="AK117" s="4"/>
      <c r="AL117" s="4"/>
      <c r="AM117" s="4"/>
      <c r="AN117" s="4"/>
      <c r="AO117" s="4"/>
      <c r="AP117" s="4"/>
      <c r="AQ117" s="4"/>
      <c r="AR117" s="4"/>
      <c r="AS117" s="78" t="str">
        <f>"COMMENT ON COLUMN "&amp;エンティティ一覧!$O$2&amp;"."&amp;D$8&amp;"."&amp;D117&amp;" IS '"&amp;C117&amp;"';"</f>
        <v>COMMENT ON COLUMN milscm_2023_010.azn_202310_base_merge_dpc_ff1.can0020_uicc_han IS 'UICC病期分類（版）';</v>
      </c>
      <c r="AT117" s="4"/>
      <c r="AU117" s="4"/>
      <c r="AV117" s="4"/>
      <c r="AW117" s="4"/>
      <c r="AX117" s="4"/>
      <c r="AY117" s="4"/>
      <c r="AZ117" s="4"/>
    </row>
    <row r="118" spans="1:52" s="25" customFormat="1" ht="31.5">
      <c r="A118" s="4"/>
      <c r="B118" s="21">
        <f t="shared" si="2"/>
        <v>106</v>
      </c>
      <c r="C118" s="6" t="s">
        <v>732</v>
      </c>
      <c r="D118" s="6" t="s">
        <v>733</v>
      </c>
      <c r="E118" s="8"/>
      <c r="F118" s="7" t="s">
        <v>318</v>
      </c>
      <c r="G118" s="7" t="str">
        <f t="shared" si="3"/>
        <v>text</v>
      </c>
      <c r="H118" s="58"/>
      <c r="I118" s="23"/>
      <c r="J118" s="24"/>
      <c r="L118" s="4"/>
      <c r="M118" s="4"/>
      <c r="N118" s="78"/>
      <c r="O118" s="78"/>
      <c r="P118" s="78" t="str">
        <f t="shared" si="12"/>
        <v>,can0030_gan_stage</v>
      </c>
      <c r="Q118" s="78" t="str">
        <f t="shared" si="13"/>
        <v>TEXT</v>
      </c>
      <c r="R118" s="78" t="str">
        <f t="shared" si="14"/>
        <v/>
      </c>
      <c r="S118" s="78" t="str">
        <f t="shared" si="15"/>
        <v/>
      </c>
      <c r="T118" s="78" t="str">
        <f t="shared" si="16"/>
        <v>-- 癌取扱い規約に基づくがんのStage分類</v>
      </c>
      <c r="U118" s="4"/>
      <c r="AA118" s="4"/>
      <c r="AB118" s="4"/>
      <c r="AC118" s="4"/>
      <c r="AD118" s="4"/>
      <c r="AE118" s="4"/>
      <c r="AF118" s="4"/>
      <c r="AG118" s="4"/>
      <c r="AH118" s="4"/>
      <c r="AI118" s="4"/>
      <c r="AJ118" s="78" t="str">
        <f>IF(E118="○",IF(COUNTA(E$13:E118)=1,"",",")&amp;D118,"")</f>
        <v/>
      </c>
      <c r="AK118" s="4"/>
      <c r="AL118" s="4"/>
      <c r="AM118" s="4"/>
      <c r="AN118" s="4"/>
      <c r="AO118" s="4"/>
      <c r="AP118" s="4"/>
      <c r="AQ118" s="4"/>
      <c r="AR118" s="4"/>
      <c r="AS118" s="78" t="str">
        <f>"COMMENT ON COLUMN "&amp;エンティティ一覧!$O$2&amp;"."&amp;D$8&amp;"."&amp;D118&amp;" IS '"&amp;C118&amp;"';"</f>
        <v>COMMENT ON COLUMN milscm_2023_010.azn_202310_base_merge_dpc_ff1.can0030_gan_stage IS '癌取扱い規約に基づくがんのStage分類';</v>
      </c>
      <c r="AT118" s="4"/>
      <c r="AU118" s="4"/>
      <c r="AV118" s="4"/>
      <c r="AW118" s="4"/>
      <c r="AX118" s="4"/>
      <c r="AY118" s="4"/>
      <c r="AZ118" s="4"/>
    </row>
    <row r="119" spans="1:52" s="25" customFormat="1" ht="37.5">
      <c r="A119" s="4"/>
      <c r="B119" s="21">
        <f t="shared" si="2"/>
        <v>107</v>
      </c>
      <c r="C119" s="13" t="s">
        <v>734</v>
      </c>
      <c r="D119" s="13" t="s">
        <v>735</v>
      </c>
      <c r="E119" s="7"/>
      <c r="F119" s="7" t="s">
        <v>318</v>
      </c>
      <c r="G119" s="7" t="str">
        <f t="shared" si="3"/>
        <v>text</v>
      </c>
      <c r="H119" s="26"/>
      <c r="I119" s="10"/>
      <c r="J119" s="11" t="s">
        <v>846</v>
      </c>
      <c r="L119" s="4"/>
      <c r="M119" s="4"/>
      <c r="N119" s="78"/>
      <c r="O119" s="78"/>
      <c r="P119" s="78" t="str">
        <f t="shared" si="12"/>
        <v>,can0040_kagaku_ryoho_flag</v>
      </c>
      <c r="Q119" s="78" t="str">
        <f t="shared" si="13"/>
        <v>TEXT</v>
      </c>
      <c r="R119" s="78" t="str">
        <f t="shared" si="14"/>
        <v/>
      </c>
      <c r="S119" s="78" t="str">
        <f t="shared" si="15"/>
        <v/>
      </c>
      <c r="T119" s="78" t="str">
        <f t="shared" si="16"/>
        <v>-- 化学療法の有無</v>
      </c>
      <c r="U119" s="4"/>
      <c r="AA119" s="4"/>
      <c r="AB119" s="4"/>
      <c r="AC119" s="4"/>
      <c r="AD119" s="4"/>
      <c r="AE119" s="4"/>
      <c r="AF119" s="4"/>
      <c r="AG119" s="4"/>
      <c r="AH119" s="4"/>
      <c r="AI119" s="4"/>
      <c r="AJ119" s="78" t="str">
        <f>IF(E119="○",IF(COUNTA(E$13:E119)=1,"",",")&amp;D119,"")</f>
        <v/>
      </c>
      <c r="AK119" s="4"/>
      <c r="AL119" s="4"/>
      <c r="AM119" s="4"/>
      <c r="AN119" s="4"/>
      <c r="AO119" s="4"/>
      <c r="AP119" s="4"/>
      <c r="AQ119" s="4"/>
      <c r="AR119" s="4"/>
      <c r="AS119" s="78" t="str">
        <f>"COMMENT ON COLUMN "&amp;エンティティ一覧!$O$2&amp;"."&amp;D$8&amp;"."&amp;D119&amp;" IS '"&amp;C119&amp;"';"</f>
        <v>COMMENT ON COLUMN milscm_2023_010.azn_202310_base_merge_dpc_ff1.can0040_kagaku_ryoho_flag IS '化学療法の有無';</v>
      </c>
      <c r="AT119" s="4"/>
      <c r="AU119" s="4"/>
      <c r="AV119" s="4"/>
      <c r="AW119" s="4"/>
      <c r="AX119" s="4"/>
      <c r="AY119" s="4"/>
      <c r="AZ119" s="4"/>
    </row>
    <row r="120" spans="1:52" s="25" customFormat="1" ht="75">
      <c r="A120" s="4"/>
      <c r="B120" s="21">
        <f t="shared" si="2"/>
        <v>108</v>
      </c>
      <c r="C120" s="6" t="s">
        <v>736</v>
      </c>
      <c r="D120" s="6" t="s">
        <v>737</v>
      </c>
      <c r="E120" s="8"/>
      <c r="F120" s="7" t="s">
        <v>318</v>
      </c>
      <c r="G120" s="7" t="str">
        <f t="shared" si="3"/>
        <v>text</v>
      </c>
      <c r="H120" s="26"/>
      <c r="I120" s="10"/>
      <c r="J120" s="11" t="s">
        <v>847</v>
      </c>
      <c r="L120" s="4"/>
      <c r="M120" s="4"/>
      <c r="N120" s="78"/>
      <c r="O120" s="78"/>
      <c r="P120" s="78" t="str">
        <f t="shared" si="12"/>
        <v>,jcs0010_nyuin_jcs</v>
      </c>
      <c r="Q120" s="78" t="str">
        <f t="shared" si="13"/>
        <v>TEXT</v>
      </c>
      <c r="R120" s="78" t="str">
        <f t="shared" si="14"/>
        <v/>
      </c>
      <c r="S120" s="78" t="str">
        <f t="shared" si="15"/>
        <v/>
      </c>
      <c r="T120" s="78" t="str">
        <f t="shared" si="16"/>
        <v>-- 入院時意識障害がある場合のJCS</v>
      </c>
      <c r="U120" s="4"/>
      <c r="AA120" s="4"/>
      <c r="AB120" s="4"/>
      <c r="AC120" s="4"/>
      <c r="AD120" s="4"/>
      <c r="AE120" s="4"/>
      <c r="AF120" s="4"/>
      <c r="AG120" s="4"/>
      <c r="AH120" s="4"/>
      <c r="AI120" s="4"/>
      <c r="AJ120" s="78" t="str">
        <f>IF(E120="○",IF(COUNTA(E$13:E120)=1,"",",")&amp;D120,"")</f>
        <v/>
      </c>
      <c r="AK120" s="4"/>
      <c r="AL120" s="4"/>
      <c r="AM120" s="4"/>
      <c r="AN120" s="4"/>
      <c r="AO120" s="4"/>
      <c r="AP120" s="4"/>
      <c r="AQ120" s="4"/>
      <c r="AR120" s="4"/>
      <c r="AS120" s="78" t="str">
        <f>"COMMENT ON COLUMN "&amp;エンティティ一覧!$O$2&amp;"."&amp;D$8&amp;"."&amp;D120&amp;" IS '"&amp;C120&amp;"';"</f>
        <v>COMMENT ON COLUMN milscm_2023_010.azn_202310_base_merge_dpc_ff1.jcs0010_nyuin_jcs IS '入院時意識障害がある場合のJCS';</v>
      </c>
      <c r="AT120" s="4"/>
      <c r="AU120" s="4"/>
      <c r="AV120" s="4"/>
      <c r="AW120" s="4"/>
      <c r="AX120" s="4"/>
      <c r="AY120" s="4"/>
      <c r="AZ120" s="4"/>
    </row>
    <row r="121" spans="1:52" s="25" customFormat="1" ht="37.5">
      <c r="A121" s="4"/>
      <c r="B121" s="21">
        <f t="shared" si="2"/>
        <v>109</v>
      </c>
      <c r="C121" s="13" t="s">
        <v>738</v>
      </c>
      <c r="D121" s="13" t="s">
        <v>739</v>
      </c>
      <c r="E121" s="7"/>
      <c r="F121" s="7" t="s">
        <v>740</v>
      </c>
      <c r="G121" s="7" t="str">
        <f t="shared" si="3"/>
        <v>text</v>
      </c>
      <c r="H121" s="58"/>
      <c r="I121" s="23"/>
      <c r="J121" s="24" t="s">
        <v>848</v>
      </c>
      <c r="L121" s="4"/>
      <c r="M121" s="4"/>
      <c r="N121" s="78"/>
      <c r="O121" s="78"/>
      <c r="P121" s="78" t="str">
        <f t="shared" si="12"/>
        <v>,jcs0010_emergency_jcs</v>
      </c>
      <c r="Q121" s="78" t="str">
        <f t="shared" si="13"/>
        <v>TEXT</v>
      </c>
      <c r="R121" s="78" t="str">
        <f t="shared" si="14"/>
        <v/>
      </c>
      <c r="S121" s="78" t="str">
        <f t="shared" si="15"/>
        <v/>
      </c>
      <c r="T121" s="78" t="str">
        <f t="shared" si="16"/>
        <v>-- 救急受診時意識障害がある場合のJCS</v>
      </c>
      <c r="U121" s="4"/>
      <c r="AA121" s="4"/>
      <c r="AB121" s="4"/>
      <c r="AC121" s="4"/>
      <c r="AD121" s="4"/>
      <c r="AE121" s="4"/>
      <c r="AF121" s="4"/>
      <c r="AG121" s="4"/>
      <c r="AH121" s="4"/>
      <c r="AI121" s="4"/>
      <c r="AJ121" s="78" t="str">
        <f>IF(E121="○",IF(COUNTA(E$13:E121)=1,"",",")&amp;D121,"")</f>
        <v/>
      </c>
      <c r="AK121" s="4"/>
      <c r="AL121" s="4"/>
      <c r="AM121" s="4"/>
      <c r="AN121" s="4"/>
      <c r="AO121" s="4"/>
      <c r="AP121" s="4"/>
      <c r="AQ121" s="4"/>
      <c r="AR121" s="4"/>
      <c r="AS121" s="78" t="str">
        <f>"COMMENT ON COLUMN "&amp;エンティティ一覧!$O$2&amp;"."&amp;D$8&amp;"."&amp;D121&amp;" IS '"&amp;C121&amp;"';"</f>
        <v>COMMENT ON COLUMN milscm_2023_010.azn_202310_base_merge_dpc_ff1.jcs0010_emergency_jcs IS '救急受診時意識障害がある場合のJCS';</v>
      </c>
      <c r="AT121" s="4"/>
      <c r="AU121" s="4"/>
      <c r="AV121" s="4"/>
      <c r="AW121" s="4"/>
      <c r="AX121" s="4"/>
      <c r="AY121" s="4"/>
      <c r="AZ121" s="4"/>
    </row>
    <row r="122" spans="1:52" s="25" customFormat="1" ht="37.5">
      <c r="A122" s="4"/>
      <c r="B122" s="21">
        <f t="shared" si="2"/>
        <v>110</v>
      </c>
      <c r="C122" s="6" t="s">
        <v>741</v>
      </c>
      <c r="D122" s="6" t="s">
        <v>742</v>
      </c>
      <c r="E122" s="8"/>
      <c r="F122" s="7" t="s">
        <v>740</v>
      </c>
      <c r="G122" s="7" t="str">
        <f t="shared" si="3"/>
        <v>text</v>
      </c>
      <c r="H122" s="26"/>
      <c r="I122" s="10"/>
      <c r="J122" s="11" t="s">
        <v>849</v>
      </c>
      <c r="L122" s="4"/>
      <c r="M122" s="4"/>
      <c r="N122" s="78"/>
      <c r="O122" s="78"/>
      <c r="P122" s="78" t="str">
        <f t="shared" si="12"/>
        <v>,jcs0010_nyusitsu_jcs</v>
      </c>
      <c r="Q122" s="78" t="str">
        <f t="shared" si="13"/>
        <v>TEXT</v>
      </c>
      <c r="R122" s="78" t="str">
        <f t="shared" si="14"/>
        <v/>
      </c>
      <c r="S122" s="78" t="str">
        <f t="shared" si="15"/>
        <v/>
      </c>
      <c r="T122" s="78" t="str">
        <f t="shared" si="16"/>
        <v>-- 治療室又は病棟入室時意識障害がある場合のJCS</v>
      </c>
      <c r="U122" s="4"/>
      <c r="AA122" s="4"/>
      <c r="AB122" s="4"/>
      <c r="AC122" s="4"/>
      <c r="AD122" s="4"/>
      <c r="AE122" s="4"/>
      <c r="AF122" s="4"/>
      <c r="AG122" s="4"/>
      <c r="AH122" s="4"/>
      <c r="AI122" s="4"/>
      <c r="AJ122" s="78" t="str">
        <f>IF(E122="○",IF(COUNTA(E$13:E122)=1,"",",")&amp;D122,"")</f>
        <v/>
      </c>
      <c r="AK122" s="4"/>
      <c r="AL122" s="4"/>
      <c r="AM122" s="4"/>
      <c r="AN122" s="4"/>
      <c r="AO122" s="4"/>
      <c r="AP122" s="4"/>
      <c r="AQ122" s="4"/>
      <c r="AR122" s="4"/>
      <c r="AS122" s="78" t="str">
        <f>"COMMENT ON COLUMN "&amp;エンティティ一覧!$O$2&amp;"."&amp;D$8&amp;"."&amp;D122&amp;" IS '"&amp;C122&amp;"';"</f>
        <v>COMMENT ON COLUMN milscm_2023_010.azn_202310_base_merge_dpc_ff1.jcs0010_nyusitsu_jcs IS '治療室又は病棟入室時意識障害がある場合のJCS';</v>
      </c>
      <c r="AT122" s="4"/>
      <c r="AU122" s="4"/>
      <c r="AV122" s="4"/>
      <c r="AW122" s="4"/>
      <c r="AX122" s="4"/>
      <c r="AY122" s="4"/>
      <c r="AZ122" s="4"/>
    </row>
    <row r="123" spans="1:52" s="25" customFormat="1" ht="75">
      <c r="A123" s="4"/>
      <c r="B123" s="21">
        <f t="shared" si="2"/>
        <v>111</v>
      </c>
      <c r="C123" s="13" t="s">
        <v>743</v>
      </c>
      <c r="D123" s="13" t="s">
        <v>744</v>
      </c>
      <c r="E123" s="7"/>
      <c r="F123" s="7" t="s">
        <v>318</v>
      </c>
      <c r="G123" s="7" t="str">
        <f t="shared" si="3"/>
        <v>text</v>
      </c>
      <c r="H123" s="58"/>
      <c r="I123" s="23"/>
      <c r="J123" s="24" t="s">
        <v>847</v>
      </c>
      <c r="L123" s="4"/>
      <c r="M123" s="4"/>
      <c r="N123" s="78"/>
      <c r="O123" s="78"/>
      <c r="P123" s="78" t="str">
        <f t="shared" si="12"/>
        <v>,jcs0020_taiin_jcs</v>
      </c>
      <c r="Q123" s="78" t="str">
        <f t="shared" si="13"/>
        <v>TEXT</v>
      </c>
      <c r="R123" s="78" t="str">
        <f t="shared" si="14"/>
        <v/>
      </c>
      <c r="S123" s="78" t="str">
        <f t="shared" si="15"/>
        <v/>
      </c>
      <c r="T123" s="78" t="str">
        <f t="shared" si="16"/>
        <v>-- 退院時意識障害がある場合のJCS</v>
      </c>
      <c r="U123" s="4"/>
      <c r="AA123" s="4"/>
      <c r="AB123" s="4"/>
      <c r="AC123" s="4"/>
      <c r="AD123" s="4"/>
      <c r="AE123" s="4"/>
      <c r="AF123" s="4"/>
      <c r="AG123" s="4"/>
      <c r="AH123" s="4"/>
      <c r="AI123" s="4"/>
      <c r="AJ123" s="78" t="str">
        <f>IF(E123="○",IF(COUNTA(E$13:E123)=1,"",",")&amp;D123,"")</f>
        <v/>
      </c>
      <c r="AK123" s="4"/>
      <c r="AL123" s="4"/>
      <c r="AM123" s="4"/>
      <c r="AN123" s="4"/>
      <c r="AO123" s="4"/>
      <c r="AP123" s="4"/>
      <c r="AQ123" s="4"/>
      <c r="AR123" s="4"/>
      <c r="AS123" s="78" t="str">
        <f>"COMMENT ON COLUMN "&amp;エンティティ一覧!$O$2&amp;"."&amp;D$8&amp;"."&amp;D123&amp;" IS '"&amp;C123&amp;"';"</f>
        <v>COMMENT ON COLUMN milscm_2023_010.azn_202310_base_merge_dpc_ff1.jcs0020_taiin_jcs IS '退院時意識障害がある場合のJCS';</v>
      </c>
      <c r="AT123" s="4"/>
      <c r="AU123" s="4"/>
      <c r="AV123" s="4"/>
      <c r="AW123" s="4"/>
      <c r="AX123" s="4"/>
      <c r="AY123" s="4"/>
      <c r="AZ123" s="4"/>
    </row>
    <row r="124" spans="1:52" s="25" customFormat="1" ht="31.5">
      <c r="A124" s="4"/>
      <c r="B124" s="21">
        <f t="shared" si="2"/>
        <v>112</v>
      </c>
      <c r="C124" s="6" t="s">
        <v>745</v>
      </c>
      <c r="D124" s="6" t="s">
        <v>746</v>
      </c>
      <c r="E124" s="8"/>
      <c r="F124" s="7" t="s">
        <v>318</v>
      </c>
      <c r="G124" s="7" t="str">
        <f t="shared" si="3"/>
        <v>text</v>
      </c>
      <c r="H124" s="26"/>
      <c r="I124" s="10"/>
      <c r="J124" s="11"/>
      <c r="L124" s="4"/>
      <c r="M124" s="4"/>
      <c r="N124" s="78"/>
      <c r="O124" s="78"/>
      <c r="P124" s="78" t="str">
        <f t="shared" si="12"/>
        <v>,m010010_before_rankin_scale</v>
      </c>
      <c r="Q124" s="78" t="str">
        <f t="shared" si="13"/>
        <v>TEXT</v>
      </c>
      <c r="R124" s="78" t="str">
        <f t="shared" si="14"/>
        <v/>
      </c>
      <c r="S124" s="78" t="str">
        <f t="shared" si="15"/>
        <v/>
      </c>
      <c r="T124" s="78" t="str">
        <f t="shared" si="16"/>
        <v>-- 発症前RankinScale</v>
      </c>
      <c r="U124" s="4"/>
      <c r="AA124" s="4"/>
      <c r="AB124" s="4"/>
      <c r="AC124" s="4"/>
      <c r="AD124" s="4"/>
      <c r="AE124" s="4"/>
      <c r="AF124" s="4"/>
      <c r="AG124" s="4"/>
      <c r="AH124" s="4"/>
      <c r="AI124" s="4"/>
      <c r="AJ124" s="78" t="str">
        <f>IF(E124="○",IF(COUNTA(E$13:E124)=1,"",",")&amp;D124,"")</f>
        <v/>
      </c>
      <c r="AK124" s="4"/>
      <c r="AL124" s="4"/>
      <c r="AM124" s="4"/>
      <c r="AN124" s="4"/>
      <c r="AO124" s="4"/>
      <c r="AP124" s="4"/>
      <c r="AQ124" s="4"/>
      <c r="AR124" s="4"/>
      <c r="AS124" s="78" t="str">
        <f>"COMMENT ON COLUMN "&amp;エンティティ一覧!$O$2&amp;"."&amp;D$8&amp;"."&amp;D124&amp;" IS '"&amp;C124&amp;"';"</f>
        <v>COMMENT ON COLUMN milscm_2023_010.azn_202310_base_merge_dpc_ff1.m010010_before_rankin_scale IS '発症前RankinScale';</v>
      </c>
      <c r="AT124" s="4"/>
      <c r="AU124" s="4"/>
      <c r="AV124" s="4"/>
      <c r="AW124" s="4"/>
      <c r="AX124" s="4"/>
      <c r="AY124" s="4"/>
      <c r="AZ124" s="4"/>
    </row>
    <row r="125" spans="1:52" s="25" customFormat="1">
      <c r="A125" s="4"/>
      <c r="B125" s="21">
        <f t="shared" si="2"/>
        <v>113</v>
      </c>
      <c r="C125" s="13" t="s">
        <v>747</v>
      </c>
      <c r="D125" s="13" t="s">
        <v>748</v>
      </c>
      <c r="E125" s="7"/>
      <c r="F125" s="7" t="s">
        <v>318</v>
      </c>
      <c r="G125" s="7" t="str">
        <f t="shared" si="3"/>
        <v>text</v>
      </c>
      <c r="H125" s="58"/>
      <c r="I125" s="23"/>
      <c r="J125" s="24"/>
      <c r="L125" s="4"/>
      <c r="M125" s="4"/>
      <c r="N125" s="78"/>
      <c r="O125" s="78"/>
      <c r="P125" s="78" t="str">
        <f t="shared" si="12"/>
        <v>,m010010_stroke</v>
      </c>
      <c r="Q125" s="78" t="str">
        <f t="shared" si="13"/>
        <v>TEXT</v>
      </c>
      <c r="R125" s="78" t="str">
        <f t="shared" si="14"/>
        <v/>
      </c>
      <c r="S125" s="78" t="str">
        <f t="shared" si="15"/>
        <v/>
      </c>
      <c r="T125" s="78" t="str">
        <f t="shared" si="16"/>
        <v>-- 脳卒中の発症時期</v>
      </c>
      <c r="U125" s="4"/>
      <c r="AA125" s="4"/>
      <c r="AB125" s="4"/>
      <c r="AC125" s="4"/>
      <c r="AD125" s="4"/>
      <c r="AE125" s="4"/>
      <c r="AF125" s="4"/>
      <c r="AG125" s="4"/>
      <c r="AH125" s="4"/>
      <c r="AI125" s="4"/>
      <c r="AJ125" s="78" t="str">
        <f>IF(E125="○",IF(COUNTA(E$13:E125)=1,"",",")&amp;D125,"")</f>
        <v/>
      </c>
      <c r="AK125" s="4"/>
      <c r="AL125" s="4"/>
      <c r="AM125" s="4"/>
      <c r="AN125" s="4"/>
      <c r="AO125" s="4"/>
      <c r="AP125" s="4"/>
      <c r="AQ125" s="4"/>
      <c r="AR125" s="4"/>
      <c r="AS125" s="78" t="str">
        <f>"COMMENT ON COLUMN "&amp;エンティティ一覧!$O$2&amp;"."&amp;D$8&amp;"."&amp;D125&amp;" IS '"&amp;C125&amp;"';"</f>
        <v>COMMENT ON COLUMN milscm_2023_010.azn_202310_base_merge_dpc_ff1.m010010_stroke IS '脳卒中の発症時期';</v>
      </c>
      <c r="AT125" s="4"/>
      <c r="AU125" s="4"/>
      <c r="AV125" s="4"/>
      <c r="AW125" s="4"/>
      <c r="AX125" s="4"/>
      <c r="AY125" s="4"/>
      <c r="AZ125" s="4"/>
    </row>
    <row r="126" spans="1:52" s="25" customFormat="1" ht="31.5">
      <c r="A126" s="4"/>
      <c r="B126" s="21">
        <f t="shared" si="2"/>
        <v>114</v>
      </c>
      <c r="C126" s="13" t="s">
        <v>749</v>
      </c>
      <c r="D126" s="13" t="s">
        <v>750</v>
      </c>
      <c r="E126" s="7"/>
      <c r="F126" s="7" t="s">
        <v>318</v>
      </c>
      <c r="G126" s="7" t="str">
        <f t="shared" si="3"/>
        <v>text</v>
      </c>
      <c r="H126" s="26"/>
      <c r="I126" s="10"/>
      <c r="J126" s="11"/>
      <c r="L126" s="4"/>
      <c r="M126" s="4"/>
      <c r="N126" s="78"/>
      <c r="O126" s="78"/>
      <c r="P126" s="78" t="str">
        <f t="shared" si="12"/>
        <v>,m010020_taiin_modified_rankin</v>
      </c>
      <c r="Q126" s="78" t="str">
        <f t="shared" si="13"/>
        <v>TEXT</v>
      </c>
      <c r="R126" s="78" t="str">
        <f t="shared" si="14"/>
        <v/>
      </c>
      <c r="S126" s="78" t="str">
        <f t="shared" si="15"/>
        <v/>
      </c>
      <c r="T126" s="78" t="str">
        <f t="shared" si="16"/>
        <v>-- 退院時modifiedRankin</v>
      </c>
      <c r="U126" s="4"/>
      <c r="AA126" s="4"/>
      <c r="AB126" s="4"/>
      <c r="AC126" s="4"/>
      <c r="AD126" s="4"/>
      <c r="AE126" s="4"/>
      <c r="AF126" s="4"/>
      <c r="AG126" s="4"/>
      <c r="AH126" s="4"/>
      <c r="AI126" s="4"/>
      <c r="AJ126" s="78" t="str">
        <f>IF(E126="○",IF(COUNTA(E$13:E126)=1,"",",")&amp;D126,"")</f>
        <v/>
      </c>
      <c r="AK126" s="4"/>
      <c r="AL126" s="4"/>
      <c r="AM126" s="4"/>
      <c r="AN126" s="4"/>
      <c r="AO126" s="4"/>
      <c r="AP126" s="4"/>
      <c r="AQ126" s="4"/>
      <c r="AR126" s="4"/>
      <c r="AS126" s="78" t="str">
        <f>"COMMENT ON COLUMN "&amp;エンティティ一覧!$O$2&amp;"."&amp;D$8&amp;"."&amp;D126&amp;" IS '"&amp;C126&amp;"';"</f>
        <v>COMMENT ON COLUMN milscm_2023_010.azn_202310_base_merge_dpc_ff1.m010020_taiin_modified_rankin IS '退院時modifiedRankin';</v>
      </c>
      <c r="AT126" s="4"/>
      <c r="AU126" s="4"/>
      <c r="AV126" s="4"/>
      <c r="AW126" s="4"/>
      <c r="AX126" s="4"/>
      <c r="AY126" s="4"/>
      <c r="AZ126" s="4"/>
    </row>
    <row r="127" spans="1:52" s="25" customFormat="1" ht="31.5">
      <c r="A127" s="4"/>
      <c r="B127" s="21">
        <f t="shared" si="2"/>
        <v>115</v>
      </c>
      <c r="C127" s="6" t="s">
        <v>751</v>
      </c>
      <c r="D127" s="6" t="s">
        <v>752</v>
      </c>
      <c r="E127" s="8"/>
      <c r="F127" s="7" t="s">
        <v>318</v>
      </c>
      <c r="G127" s="7" t="str">
        <f t="shared" si="3"/>
        <v>text</v>
      </c>
      <c r="H127" s="58"/>
      <c r="I127" s="23"/>
      <c r="J127" s="24" t="s">
        <v>850</v>
      </c>
      <c r="L127" s="4"/>
      <c r="M127" s="4"/>
      <c r="N127" s="78"/>
      <c r="O127" s="78"/>
      <c r="P127" s="78" t="str">
        <f t="shared" si="12"/>
        <v>,m010030_temozolomide_flag</v>
      </c>
      <c r="Q127" s="78" t="str">
        <f t="shared" si="13"/>
        <v>TEXT</v>
      </c>
      <c r="R127" s="78" t="str">
        <f t="shared" si="14"/>
        <v/>
      </c>
      <c r="S127" s="78" t="str">
        <f t="shared" si="15"/>
        <v/>
      </c>
      <c r="T127" s="78" t="str">
        <f t="shared" si="16"/>
        <v>-- テモゾロミド（初回治療）の有無</v>
      </c>
      <c r="U127" s="4"/>
      <c r="AA127" s="4"/>
      <c r="AB127" s="4"/>
      <c r="AC127" s="4"/>
      <c r="AD127" s="4"/>
      <c r="AE127" s="4"/>
      <c r="AF127" s="4"/>
      <c r="AG127" s="4"/>
      <c r="AH127" s="4"/>
      <c r="AI127" s="4"/>
      <c r="AJ127" s="78" t="str">
        <f>IF(E127="○",IF(COUNTA(E$13:E127)=1,"",",")&amp;D127,"")</f>
        <v/>
      </c>
      <c r="AK127" s="4"/>
      <c r="AL127" s="4"/>
      <c r="AM127" s="4"/>
      <c r="AN127" s="4"/>
      <c r="AO127" s="4"/>
      <c r="AP127" s="4"/>
      <c r="AQ127" s="4"/>
      <c r="AR127" s="4"/>
      <c r="AS127" s="78" t="str">
        <f>"COMMENT ON COLUMN "&amp;エンティティ一覧!$O$2&amp;"."&amp;D$8&amp;"."&amp;D127&amp;" IS '"&amp;C127&amp;"';"</f>
        <v>COMMENT ON COLUMN milscm_2023_010.azn_202310_base_merge_dpc_ff1.m010030_temozolomide_flag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753</v>
      </c>
      <c r="D128" s="13" t="s">
        <v>754</v>
      </c>
      <c r="E128" s="7"/>
      <c r="F128" s="7" t="s">
        <v>318</v>
      </c>
      <c r="G128" s="7" t="str">
        <f t="shared" si="3"/>
        <v>text</v>
      </c>
      <c r="H128" s="26"/>
      <c r="I128" s="10"/>
      <c r="J128" s="11"/>
      <c r="L128" s="4"/>
      <c r="M128" s="4"/>
      <c r="N128" s="78"/>
      <c r="O128" s="78"/>
      <c r="P128" s="78" t="str">
        <f t="shared" si="12"/>
        <v>,m040010_hugh_jones</v>
      </c>
      <c r="Q128" s="78" t="str">
        <f t="shared" si="13"/>
        <v>TEXT</v>
      </c>
      <c r="R128" s="78" t="str">
        <f t="shared" si="14"/>
        <v/>
      </c>
      <c r="S128" s="78" t="str">
        <f t="shared" si="15"/>
        <v/>
      </c>
      <c r="T128" s="78" t="str">
        <f t="shared" si="16"/>
        <v>-- Hugh-Jones分類</v>
      </c>
      <c r="U128" s="4"/>
      <c r="AA128" s="4"/>
      <c r="AB128" s="4"/>
      <c r="AC128" s="4"/>
      <c r="AD128" s="4"/>
      <c r="AE128" s="4"/>
      <c r="AF128" s="4"/>
      <c r="AG128" s="4"/>
      <c r="AH128" s="4"/>
      <c r="AI128" s="4"/>
      <c r="AJ128" s="78" t="str">
        <f>IF(E128="○",IF(COUNTA(E$13:E128)=1,"",",")&amp;D128,"")</f>
        <v/>
      </c>
      <c r="AK128" s="4"/>
      <c r="AL128" s="4"/>
      <c r="AM128" s="4"/>
      <c r="AN128" s="4"/>
      <c r="AO128" s="4"/>
      <c r="AP128" s="4"/>
      <c r="AQ128" s="4"/>
      <c r="AR128" s="4"/>
      <c r="AS128" s="78" t="str">
        <f>"COMMENT ON COLUMN "&amp;エンティティ一覧!$O$2&amp;"."&amp;D$8&amp;"."&amp;D128&amp;" IS '"&amp;C128&amp;"';"</f>
        <v>COMMENT ON COLUMN milscm_2023_010.azn_202310_base_merge_dpc_ff1.m040010_hugh_jones IS 'Hugh-Jones分類';</v>
      </c>
      <c r="AT128" s="4"/>
      <c r="AU128" s="4"/>
      <c r="AV128" s="4"/>
      <c r="AW128" s="4"/>
      <c r="AX128" s="4"/>
      <c r="AY128" s="4"/>
      <c r="AZ128" s="4"/>
    </row>
    <row r="129" spans="1:52" s="25" customFormat="1">
      <c r="A129" s="4"/>
      <c r="B129" s="21">
        <f t="shared" si="2"/>
        <v>117</v>
      </c>
      <c r="C129" s="13" t="s">
        <v>755</v>
      </c>
      <c r="D129" s="13" t="s">
        <v>756</v>
      </c>
      <c r="E129" s="7"/>
      <c r="F129" s="7" t="s">
        <v>318</v>
      </c>
      <c r="G129" s="7" t="str">
        <f t="shared" si="3"/>
        <v>text</v>
      </c>
      <c r="H129" s="58"/>
      <c r="I129" s="23"/>
      <c r="J129" s="24"/>
      <c r="L129" s="4"/>
      <c r="M129" s="4"/>
      <c r="N129" s="78"/>
      <c r="O129" s="78"/>
      <c r="P129" s="78" t="str">
        <f t="shared" si="12"/>
        <v>,m040020_haien_jushodo</v>
      </c>
      <c r="Q129" s="78" t="str">
        <f t="shared" si="13"/>
        <v>TEXT</v>
      </c>
      <c r="R129" s="78" t="str">
        <f t="shared" si="14"/>
        <v/>
      </c>
      <c r="S129" s="78" t="str">
        <f t="shared" si="15"/>
        <v/>
      </c>
      <c r="T129" s="78" t="str">
        <f t="shared" si="16"/>
        <v>-- 肺炎の重症度分類</v>
      </c>
      <c r="U129" s="4"/>
      <c r="AA129" s="4"/>
      <c r="AB129" s="4"/>
      <c r="AC129" s="4"/>
      <c r="AD129" s="4"/>
      <c r="AE129" s="4"/>
      <c r="AF129" s="4"/>
      <c r="AG129" s="4"/>
      <c r="AH129" s="4"/>
      <c r="AI129" s="4"/>
      <c r="AJ129" s="78" t="str">
        <f>IF(E129="○",IF(COUNTA(E$13:E129)=1,"",",")&amp;D129,"")</f>
        <v/>
      </c>
      <c r="AK129" s="4"/>
      <c r="AL129" s="4"/>
      <c r="AM129" s="4"/>
      <c r="AN129" s="4"/>
      <c r="AO129" s="4"/>
      <c r="AP129" s="4"/>
      <c r="AQ129" s="4"/>
      <c r="AR129" s="4"/>
      <c r="AS129" s="78" t="str">
        <f>"COMMENT ON COLUMN "&amp;エンティティ一覧!$O$2&amp;"."&amp;D$8&amp;"."&amp;D129&amp;" IS '"&amp;C129&amp;"';"</f>
        <v>COMMENT ON COLUMN milscm_2023_010.azn_202310_base_merge_dpc_ff1.m040020_haien_jushodo IS '肺炎の重症度分類';</v>
      </c>
      <c r="AT129" s="4"/>
      <c r="AU129" s="4"/>
      <c r="AV129" s="4"/>
      <c r="AW129" s="4"/>
      <c r="AX129" s="4"/>
      <c r="AY129" s="4"/>
      <c r="AZ129" s="4"/>
    </row>
    <row r="130" spans="1:52" s="25" customFormat="1" ht="31.5">
      <c r="A130" s="4"/>
      <c r="B130" s="21">
        <f t="shared" si="2"/>
        <v>118</v>
      </c>
      <c r="C130" s="13" t="s">
        <v>757</v>
      </c>
      <c r="D130" s="13" t="s">
        <v>758</v>
      </c>
      <c r="E130" s="7"/>
      <c r="F130" s="7" t="s">
        <v>318</v>
      </c>
      <c r="G130" s="7" t="str">
        <f t="shared" si="3"/>
        <v>text</v>
      </c>
      <c r="H130" s="58"/>
      <c r="I130" s="23"/>
      <c r="J130" s="24" t="s">
        <v>850</v>
      </c>
      <c r="L130" s="4"/>
      <c r="M130" s="4"/>
      <c r="N130" s="78"/>
      <c r="O130" s="78"/>
      <c r="P130" s="78" t="str">
        <f t="shared" si="12"/>
        <v>,m040020_kanren_haien_flag</v>
      </c>
      <c r="Q130" s="78" t="str">
        <f t="shared" si="13"/>
        <v>TEXT</v>
      </c>
      <c r="R130" s="78" t="str">
        <f t="shared" si="14"/>
        <v/>
      </c>
      <c r="S130" s="78" t="str">
        <f t="shared" si="15"/>
        <v/>
      </c>
      <c r="T130" s="78" t="str">
        <f t="shared" si="16"/>
        <v>-- 医療介護関連肺炎に該当の有無</v>
      </c>
      <c r="U130" s="4"/>
      <c r="AA130" s="4"/>
      <c r="AB130" s="4"/>
      <c r="AC130" s="4"/>
      <c r="AD130" s="4"/>
      <c r="AE130" s="4"/>
      <c r="AF130" s="4"/>
      <c r="AG130" s="4"/>
      <c r="AH130" s="4"/>
      <c r="AI130" s="4"/>
      <c r="AJ130" s="78" t="str">
        <f>IF(E130="○",IF(COUNTA(E$13:E130)=1,"",",")&amp;D130,"")</f>
        <v/>
      </c>
      <c r="AK130" s="4"/>
      <c r="AL130" s="4"/>
      <c r="AM130" s="4"/>
      <c r="AN130" s="4"/>
      <c r="AO130" s="4"/>
      <c r="AP130" s="4"/>
      <c r="AQ130" s="4"/>
      <c r="AR130" s="4"/>
      <c r="AS130" s="78" t="str">
        <f>"COMMENT ON COLUMN "&amp;エンティティ一覧!$O$2&amp;"."&amp;D$8&amp;"."&amp;D130&amp;" IS '"&amp;C130&amp;"';"</f>
        <v>COMMENT ON COLUMN milscm_2023_010.azn_202310_base_merge_dpc_ff1.m040020_kanren_haien_flag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759</v>
      </c>
      <c r="D131" s="6" t="s">
        <v>760</v>
      </c>
      <c r="E131" s="8"/>
      <c r="F131" s="7" t="s">
        <v>318</v>
      </c>
      <c r="G131" s="7" t="str">
        <f t="shared" si="3"/>
        <v>text</v>
      </c>
      <c r="H131" s="26"/>
      <c r="I131" s="10"/>
      <c r="J131" s="11" t="s">
        <v>851</v>
      </c>
      <c r="L131" s="4"/>
      <c r="M131" s="4"/>
      <c r="N131" s="78"/>
      <c r="O131" s="78"/>
      <c r="P131" s="78" t="str">
        <f t="shared" si="12"/>
        <v>,m040030_emergency_pf</v>
      </c>
      <c r="Q131" s="78" t="str">
        <f t="shared" si="13"/>
        <v>TEXT</v>
      </c>
      <c r="R131" s="78" t="str">
        <f t="shared" si="14"/>
        <v/>
      </c>
      <c r="S131" s="78" t="str">
        <f t="shared" si="15"/>
        <v/>
      </c>
      <c r="T131" s="78" t="str">
        <f t="shared" si="16"/>
        <v>-- 救急受診時のP/F比</v>
      </c>
      <c r="U131" s="4"/>
      <c r="AA131" s="4"/>
      <c r="AB131" s="4"/>
      <c r="AC131" s="4"/>
      <c r="AD131" s="4"/>
      <c r="AE131" s="4"/>
      <c r="AF131" s="4"/>
      <c r="AG131" s="4"/>
      <c r="AH131" s="4"/>
      <c r="AI131" s="4"/>
      <c r="AJ131" s="78" t="str">
        <f>IF(E131="○",IF(COUNTA(E$13:E131)=1,"",",")&amp;D131,"")</f>
        <v/>
      </c>
      <c r="AK131" s="4"/>
      <c r="AL131" s="4"/>
      <c r="AM131" s="4"/>
      <c r="AN131" s="4"/>
      <c r="AO131" s="4"/>
      <c r="AP131" s="4"/>
      <c r="AQ131" s="4"/>
      <c r="AR131" s="4"/>
      <c r="AS131" s="78" t="str">
        <f>"COMMENT ON COLUMN "&amp;エンティティ一覧!$O$2&amp;"."&amp;D$8&amp;"."&amp;D131&amp;" IS '"&amp;C131&amp;"';"</f>
        <v>COMMENT ON COLUMN milscm_2023_010.azn_202310_base_merge_dpc_ff1.m040030_emergency_pf IS '救急受診時のP/F比';</v>
      </c>
      <c r="AT131" s="4"/>
      <c r="AU131" s="4"/>
      <c r="AV131" s="4"/>
      <c r="AW131" s="4"/>
      <c r="AX131" s="4"/>
      <c r="AY131" s="4"/>
      <c r="AZ131" s="4"/>
    </row>
    <row r="132" spans="1:52" s="25" customFormat="1" ht="31.5">
      <c r="A132" s="4"/>
      <c r="B132" s="21">
        <f t="shared" si="2"/>
        <v>120</v>
      </c>
      <c r="C132" s="13" t="s">
        <v>761</v>
      </c>
      <c r="D132" s="13" t="s">
        <v>762</v>
      </c>
      <c r="E132" s="7"/>
      <c r="F132" s="7" t="s">
        <v>318</v>
      </c>
      <c r="G132" s="7" t="str">
        <f t="shared" si="3"/>
        <v>text</v>
      </c>
      <c r="H132" s="26"/>
      <c r="I132" s="10"/>
      <c r="J132" s="11" t="s">
        <v>852</v>
      </c>
      <c r="L132" s="4"/>
      <c r="M132" s="4"/>
      <c r="N132" s="78"/>
      <c r="O132" s="78"/>
      <c r="P132" s="78" t="str">
        <f t="shared" si="12"/>
        <v>,m040030_emergency_kokyu</v>
      </c>
      <c r="Q132" s="78" t="str">
        <f t="shared" si="13"/>
        <v>TEXT</v>
      </c>
      <c r="R132" s="78" t="str">
        <f t="shared" si="14"/>
        <v/>
      </c>
      <c r="S132" s="78" t="str">
        <f t="shared" si="15"/>
        <v/>
      </c>
      <c r="T132" s="78" t="str">
        <f t="shared" si="16"/>
        <v>-- 救急受診時の呼吸補助</v>
      </c>
      <c r="U132" s="4"/>
      <c r="AA132" s="4"/>
      <c r="AB132" s="4"/>
      <c r="AC132" s="4"/>
      <c r="AD132" s="4"/>
      <c r="AE132" s="4"/>
      <c r="AF132" s="4"/>
      <c r="AG132" s="4"/>
      <c r="AH132" s="4"/>
      <c r="AI132" s="4"/>
      <c r="AJ132" s="78" t="str">
        <f>IF(E132="○",IF(COUNTA(E$13:E132)=1,"",",")&amp;D132,"")</f>
        <v/>
      </c>
      <c r="AK132" s="4"/>
      <c r="AL132" s="4"/>
      <c r="AM132" s="4"/>
      <c r="AN132" s="4"/>
      <c r="AO132" s="4"/>
      <c r="AP132" s="4"/>
      <c r="AQ132" s="4"/>
      <c r="AR132" s="4"/>
      <c r="AS132" s="78" t="str">
        <f>"COMMENT ON COLUMN "&amp;エンティティ一覧!$O$2&amp;"."&amp;D$8&amp;"."&amp;D132&amp;" IS '"&amp;C132&amp;"';"</f>
        <v>COMMENT ON COLUMN milscm_2023_010.azn_202310_base_merge_dpc_ff1.m040030_emergency_kokyu IS '救急受診時の呼吸補助';</v>
      </c>
      <c r="AT132" s="4"/>
      <c r="AU132" s="4"/>
      <c r="AV132" s="4"/>
      <c r="AW132" s="4"/>
      <c r="AX132" s="4"/>
      <c r="AY132" s="4"/>
      <c r="AZ132" s="4"/>
    </row>
    <row r="133" spans="1:52" s="25" customFormat="1">
      <c r="A133" s="4"/>
      <c r="B133" s="21">
        <f t="shared" si="2"/>
        <v>121</v>
      </c>
      <c r="C133" s="6" t="s">
        <v>763</v>
      </c>
      <c r="D133" s="6" t="s">
        <v>764</v>
      </c>
      <c r="E133" s="8"/>
      <c r="F133" s="7" t="s">
        <v>318</v>
      </c>
      <c r="G133" s="7" t="str">
        <f t="shared" si="3"/>
        <v>text</v>
      </c>
      <c r="H133" s="58"/>
      <c r="I133" s="23"/>
      <c r="J133" s="24" t="s">
        <v>851</v>
      </c>
      <c r="L133" s="4"/>
      <c r="M133" s="4"/>
      <c r="N133" s="78"/>
      <c r="O133" s="78"/>
      <c r="P133" s="78" t="str">
        <f t="shared" si="12"/>
        <v>,m040030_nyusitsu_pf</v>
      </c>
      <c r="Q133" s="78" t="str">
        <f t="shared" si="13"/>
        <v>TEXT</v>
      </c>
      <c r="R133" s="78" t="str">
        <f t="shared" si="14"/>
        <v/>
      </c>
      <c r="S133" s="78" t="str">
        <f t="shared" si="15"/>
        <v/>
      </c>
      <c r="T133" s="78" t="str">
        <f t="shared" si="16"/>
        <v>-- 治療室又は病棟入室時のP/F比</v>
      </c>
      <c r="U133" s="4"/>
      <c r="AA133" s="4"/>
      <c r="AB133" s="4"/>
      <c r="AC133" s="4"/>
      <c r="AD133" s="4"/>
      <c r="AE133" s="4"/>
      <c r="AF133" s="4"/>
      <c r="AG133" s="4"/>
      <c r="AH133" s="4"/>
      <c r="AI133" s="4"/>
      <c r="AJ133" s="78" t="str">
        <f>IF(E133="○",IF(COUNTA(E$13:E133)=1,"",",")&amp;D133,"")</f>
        <v/>
      </c>
      <c r="AK133" s="4"/>
      <c r="AL133" s="4"/>
      <c r="AM133" s="4"/>
      <c r="AN133" s="4"/>
      <c r="AO133" s="4"/>
      <c r="AP133" s="4"/>
      <c r="AQ133" s="4"/>
      <c r="AR133" s="4"/>
      <c r="AS133" s="78" t="str">
        <f>"COMMENT ON COLUMN "&amp;エンティティ一覧!$O$2&amp;"."&amp;D$8&amp;"."&amp;D133&amp;" IS '"&amp;C133&amp;"';"</f>
        <v>COMMENT ON COLUMN milscm_2023_010.azn_202310_base_merge_dpc_ff1.m040030_nyusitsu_pf IS '治療室又は病棟入室時のP/F比';</v>
      </c>
      <c r="AT133" s="4"/>
      <c r="AU133" s="4"/>
      <c r="AV133" s="4"/>
      <c r="AW133" s="4"/>
      <c r="AX133" s="4"/>
      <c r="AY133" s="4"/>
      <c r="AZ133" s="4"/>
    </row>
    <row r="134" spans="1:52" s="25" customFormat="1">
      <c r="A134" s="4"/>
      <c r="B134" s="21">
        <f t="shared" si="2"/>
        <v>122</v>
      </c>
      <c r="C134" s="13" t="s">
        <v>765</v>
      </c>
      <c r="D134" s="13" t="s">
        <v>766</v>
      </c>
      <c r="E134" s="7"/>
      <c r="F134" s="7" t="s">
        <v>318</v>
      </c>
      <c r="G134" s="7" t="str">
        <f t="shared" si="3"/>
        <v>text</v>
      </c>
      <c r="H134" s="26"/>
      <c r="I134" s="10"/>
      <c r="J134" s="11" t="s">
        <v>852</v>
      </c>
      <c r="L134" s="4"/>
      <c r="M134" s="4"/>
      <c r="N134" s="78"/>
      <c r="O134" s="78"/>
      <c r="P134" s="78" t="str">
        <f t="shared" si="12"/>
        <v>,m040030_nyusitsu_kokyu</v>
      </c>
      <c r="Q134" s="78" t="str">
        <f t="shared" si="13"/>
        <v>TEXT</v>
      </c>
      <c r="R134" s="78" t="str">
        <f t="shared" si="14"/>
        <v/>
      </c>
      <c r="S134" s="78" t="str">
        <f t="shared" si="15"/>
        <v/>
      </c>
      <c r="T134" s="78" t="str">
        <f t="shared" si="16"/>
        <v>-- 治療室又は病棟入室時の呼吸補助</v>
      </c>
      <c r="U134" s="4"/>
      <c r="AA134" s="4"/>
      <c r="AB134" s="4"/>
      <c r="AC134" s="4"/>
      <c r="AD134" s="4"/>
      <c r="AE134" s="4"/>
      <c r="AF134" s="4"/>
      <c r="AG134" s="4"/>
      <c r="AH134" s="4"/>
      <c r="AI134" s="4"/>
      <c r="AJ134" s="78" t="str">
        <f>IF(E134="○",IF(COUNTA(E$13:E134)=1,"",",")&amp;D134,"")</f>
        <v/>
      </c>
      <c r="AK134" s="4"/>
      <c r="AL134" s="4"/>
      <c r="AM134" s="4"/>
      <c r="AN134" s="4"/>
      <c r="AO134" s="4"/>
      <c r="AP134" s="4"/>
      <c r="AQ134" s="4"/>
      <c r="AR134" s="4"/>
      <c r="AS134" s="78" t="str">
        <f>"COMMENT ON COLUMN "&amp;エンティティ一覧!$O$2&amp;"."&amp;D$8&amp;"."&amp;D134&amp;" IS '"&amp;C134&amp;"';"</f>
        <v>COMMENT ON COLUMN milscm_2023_010.azn_202310_base_merge_dpc_ff1.m040030_nyusitsu_kokyu IS '治療室又は病棟入室時の呼吸補助';</v>
      </c>
      <c r="AT134" s="4"/>
      <c r="AU134" s="4"/>
      <c r="AV134" s="4"/>
      <c r="AW134" s="4"/>
      <c r="AX134" s="4"/>
      <c r="AY134" s="4"/>
      <c r="AZ134" s="4"/>
    </row>
    <row r="135" spans="1:52" s="25" customFormat="1" ht="93.75">
      <c r="A135" s="4"/>
      <c r="B135" s="21">
        <f t="shared" si="2"/>
        <v>123</v>
      </c>
      <c r="C135" s="6" t="s">
        <v>767</v>
      </c>
      <c r="D135" s="6" t="s">
        <v>768</v>
      </c>
      <c r="E135" s="8"/>
      <c r="F135" s="7" t="s">
        <v>318</v>
      </c>
      <c r="G135" s="7" t="str">
        <f t="shared" si="3"/>
        <v>text</v>
      </c>
      <c r="H135" s="58"/>
      <c r="I135" s="23"/>
      <c r="J135" s="24" t="s">
        <v>853</v>
      </c>
      <c r="L135" s="4"/>
      <c r="M135" s="4"/>
      <c r="N135" s="78"/>
      <c r="O135" s="78"/>
      <c r="P135" s="78" t="str">
        <f t="shared" si="12"/>
        <v>,m050010_nyha</v>
      </c>
      <c r="Q135" s="78" t="str">
        <f t="shared" si="13"/>
        <v>TEXT</v>
      </c>
      <c r="R135" s="78" t="str">
        <f t="shared" si="14"/>
        <v/>
      </c>
      <c r="S135" s="78" t="str">
        <f t="shared" si="15"/>
        <v/>
      </c>
      <c r="T135" s="78" t="str">
        <f t="shared" si="16"/>
        <v>-- NYHA心機能分類</v>
      </c>
      <c r="U135" s="4"/>
      <c r="AA135" s="4"/>
      <c r="AB135" s="4"/>
      <c r="AC135" s="4"/>
      <c r="AD135" s="4"/>
      <c r="AE135" s="4"/>
      <c r="AF135" s="4"/>
      <c r="AG135" s="4"/>
      <c r="AH135" s="4"/>
      <c r="AI135" s="4"/>
      <c r="AJ135" s="78" t="str">
        <f>IF(E135="○",IF(COUNTA(E$13:E135)=1,"",",")&amp;D135,"")</f>
        <v/>
      </c>
      <c r="AK135" s="4"/>
      <c r="AL135" s="4"/>
      <c r="AM135" s="4"/>
      <c r="AN135" s="4"/>
      <c r="AO135" s="4"/>
      <c r="AP135" s="4"/>
      <c r="AQ135" s="4"/>
      <c r="AR135" s="4"/>
      <c r="AS135" s="78" t="str">
        <f>"COMMENT ON COLUMN "&amp;エンティティ一覧!$O$2&amp;"."&amp;D$8&amp;"."&amp;D135&amp;" IS '"&amp;C135&amp;"';"</f>
        <v>COMMENT ON COLUMN milscm_2023_010.azn_202310_base_merge_dpc_ff1.m050010_nyha IS 'NYHA心機能分類';</v>
      </c>
      <c r="AT135" s="4"/>
      <c r="AU135" s="4"/>
      <c r="AV135" s="4"/>
      <c r="AW135" s="4"/>
      <c r="AX135" s="4"/>
      <c r="AY135" s="4"/>
      <c r="AZ135" s="4"/>
    </row>
    <row r="136" spans="1:52" s="25" customFormat="1" ht="93.75">
      <c r="A136" s="4"/>
      <c r="B136" s="21">
        <f t="shared" si="2"/>
        <v>124</v>
      </c>
      <c r="C136" s="13" t="s">
        <v>769</v>
      </c>
      <c r="D136" s="13" t="s">
        <v>770</v>
      </c>
      <c r="E136" s="7"/>
      <c r="F136" s="7" t="s">
        <v>318</v>
      </c>
      <c r="G136" s="7" t="str">
        <f t="shared" si="3"/>
        <v>text</v>
      </c>
      <c r="H136" s="26"/>
      <c r="I136" s="10"/>
      <c r="J136" s="11" t="s">
        <v>854</v>
      </c>
      <c r="L136" s="4"/>
      <c r="M136" s="4"/>
      <c r="N136" s="78"/>
      <c r="O136" s="78"/>
      <c r="P136" s="78" t="str">
        <f t="shared" si="12"/>
        <v>,m050010_emergency_nyha</v>
      </c>
      <c r="Q136" s="78" t="str">
        <f t="shared" si="13"/>
        <v>TEXT</v>
      </c>
      <c r="R136" s="78" t="str">
        <f t="shared" si="14"/>
        <v/>
      </c>
      <c r="S136" s="78" t="str">
        <f t="shared" si="15"/>
        <v/>
      </c>
      <c r="T136" s="78" t="str">
        <f t="shared" si="16"/>
        <v>-- 救急受診時のNYHA心機能分類</v>
      </c>
      <c r="U136" s="4"/>
      <c r="AA136" s="4"/>
      <c r="AB136" s="4"/>
      <c r="AC136" s="4"/>
      <c r="AD136" s="4"/>
      <c r="AE136" s="4"/>
      <c r="AF136" s="4"/>
      <c r="AG136" s="4"/>
      <c r="AH136" s="4"/>
      <c r="AI136" s="4"/>
      <c r="AJ136" s="78" t="str">
        <f>IF(E136="○",IF(COUNTA(E$13:E136)=1,"",",")&amp;D136,"")</f>
        <v/>
      </c>
      <c r="AK136" s="4"/>
      <c r="AL136" s="4"/>
      <c r="AM136" s="4"/>
      <c r="AN136" s="4"/>
      <c r="AO136" s="4"/>
      <c r="AP136" s="4"/>
      <c r="AQ136" s="4"/>
      <c r="AR136" s="4"/>
      <c r="AS136" s="78" t="str">
        <f>"COMMENT ON COLUMN "&amp;エンティティ一覧!$O$2&amp;"."&amp;D$8&amp;"."&amp;D136&amp;" IS '"&amp;C136&amp;"';"</f>
        <v>COMMENT ON COLUMN milscm_2023_010.azn_202310_base_merge_dpc_ff1.m050010_emergency_nyha IS '救急受診時のNYHA心機能分類';</v>
      </c>
      <c r="AT136" s="4"/>
      <c r="AU136" s="4"/>
      <c r="AV136" s="4"/>
      <c r="AW136" s="4"/>
      <c r="AX136" s="4"/>
      <c r="AY136" s="4"/>
      <c r="AZ136" s="4"/>
    </row>
    <row r="137" spans="1:52" s="25" customFormat="1" ht="93.75">
      <c r="A137" s="4"/>
      <c r="B137" s="21">
        <f t="shared" si="2"/>
        <v>125</v>
      </c>
      <c r="C137" s="6" t="s">
        <v>771</v>
      </c>
      <c r="D137" s="6" t="s">
        <v>772</v>
      </c>
      <c r="E137" s="8"/>
      <c r="F137" s="7" t="s">
        <v>318</v>
      </c>
      <c r="G137" s="7" t="str">
        <f t="shared" si="3"/>
        <v>text</v>
      </c>
      <c r="H137" s="58"/>
      <c r="I137" s="23"/>
      <c r="J137" s="24" t="s">
        <v>855</v>
      </c>
      <c r="L137" s="4"/>
      <c r="M137" s="4"/>
      <c r="N137" s="78"/>
      <c r="O137" s="78"/>
      <c r="P137" s="78" t="str">
        <f t="shared" si="12"/>
        <v>,m050010_nyusitsu_nyha</v>
      </c>
      <c r="Q137" s="78" t="str">
        <f t="shared" si="13"/>
        <v>TEXT</v>
      </c>
      <c r="R137" s="78" t="str">
        <f t="shared" si="14"/>
        <v/>
      </c>
      <c r="S137" s="78" t="str">
        <f t="shared" si="15"/>
        <v/>
      </c>
      <c r="T137" s="78" t="str">
        <f t="shared" si="16"/>
        <v>-- 治療室又は病棟入室時のNYHA 心機能分類</v>
      </c>
      <c r="U137" s="4"/>
      <c r="AA137" s="4"/>
      <c r="AB137" s="4"/>
      <c r="AC137" s="4"/>
      <c r="AD137" s="4"/>
      <c r="AE137" s="4"/>
      <c r="AF137" s="4"/>
      <c r="AG137" s="4"/>
      <c r="AH137" s="4"/>
      <c r="AI137" s="4"/>
      <c r="AJ137" s="78" t="str">
        <f>IF(E137="○",IF(COUNTA(E$13:E137)=1,"",",")&amp;D137,"")</f>
        <v/>
      </c>
      <c r="AK137" s="4"/>
      <c r="AL137" s="4"/>
      <c r="AM137" s="4"/>
      <c r="AN137" s="4"/>
      <c r="AO137" s="4"/>
      <c r="AP137" s="4"/>
      <c r="AQ137" s="4"/>
      <c r="AR137" s="4"/>
      <c r="AS137" s="78" t="str">
        <f>"COMMENT ON COLUMN "&amp;エンティティ一覧!$O$2&amp;"."&amp;D$8&amp;"."&amp;D137&amp;" IS '"&amp;C137&amp;"';"</f>
        <v>COMMENT ON COLUMN milscm_2023_010.azn_202310_base_merge_dpc_ff1.m050010_nyusitsu_nyha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773</v>
      </c>
      <c r="D138" s="13" t="s">
        <v>774</v>
      </c>
      <c r="E138" s="7"/>
      <c r="F138" s="7" t="s">
        <v>318</v>
      </c>
      <c r="G138" s="7" t="str">
        <f t="shared" si="3"/>
        <v>text</v>
      </c>
      <c r="H138" s="26"/>
      <c r="I138" s="10"/>
      <c r="J138" s="11"/>
      <c r="L138" s="4"/>
      <c r="M138" s="4"/>
      <c r="N138" s="78"/>
      <c r="O138" s="78"/>
      <c r="P138" s="78" t="str">
        <f t="shared" si="12"/>
        <v>,m050020_ccs</v>
      </c>
      <c r="Q138" s="78" t="str">
        <f t="shared" si="13"/>
        <v>TEXT</v>
      </c>
      <c r="R138" s="78" t="str">
        <f t="shared" si="14"/>
        <v/>
      </c>
      <c r="S138" s="78" t="str">
        <f t="shared" si="15"/>
        <v/>
      </c>
      <c r="T138" s="78" t="str">
        <f t="shared" si="16"/>
        <v>-- CCS分類</v>
      </c>
      <c r="U138" s="4"/>
      <c r="AA138" s="4"/>
      <c r="AB138" s="4"/>
      <c r="AC138" s="4"/>
      <c r="AD138" s="4"/>
      <c r="AE138" s="4"/>
      <c r="AF138" s="4"/>
      <c r="AG138" s="4"/>
      <c r="AH138" s="4"/>
      <c r="AI138" s="4"/>
      <c r="AJ138" s="78" t="str">
        <f>IF(E138="○",IF(COUNTA(E$13:E138)=1,"",",")&amp;D138,"")</f>
        <v/>
      </c>
      <c r="AK138" s="4"/>
      <c r="AL138" s="4"/>
      <c r="AM138" s="4"/>
      <c r="AN138" s="4"/>
      <c r="AO138" s="4"/>
      <c r="AP138" s="4"/>
      <c r="AQ138" s="4"/>
      <c r="AR138" s="4"/>
      <c r="AS138" s="78" t="str">
        <f>"COMMENT ON COLUMN "&amp;エンティティ一覧!$O$2&amp;"."&amp;D$8&amp;"."&amp;D138&amp;" IS '"&amp;C138&amp;"';"</f>
        <v>COMMENT ON COLUMN milscm_2023_010.azn_202310_base_merge_dpc_ff1.m050020_ccs IS 'CCS分類';</v>
      </c>
      <c r="AT138" s="4"/>
      <c r="AU138" s="4"/>
      <c r="AV138" s="4"/>
      <c r="AW138" s="4"/>
      <c r="AX138" s="4"/>
      <c r="AY138" s="4"/>
      <c r="AZ138" s="4"/>
    </row>
    <row r="139" spans="1:52" s="25" customFormat="1">
      <c r="A139" s="4"/>
      <c r="B139" s="21">
        <f t="shared" si="2"/>
        <v>127</v>
      </c>
      <c r="C139" s="13" t="s">
        <v>775</v>
      </c>
      <c r="D139" s="13" t="s">
        <v>776</v>
      </c>
      <c r="E139" s="7"/>
      <c r="F139" s="7" t="s">
        <v>318</v>
      </c>
      <c r="G139" s="7" t="str">
        <f t="shared" si="3"/>
        <v>text</v>
      </c>
      <c r="H139" s="58"/>
      <c r="I139" s="23"/>
      <c r="J139" s="24"/>
      <c r="L139" s="4"/>
      <c r="M139" s="4"/>
      <c r="N139" s="78"/>
      <c r="O139" s="78"/>
      <c r="P139" s="78" t="str">
        <f t="shared" si="12"/>
        <v>,m050030_killip</v>
      </c>
      <c r="Q139" s="78" t="str">
        <f t="shared" si="13"/>
        <v>TEXT</v>
      </c>
      <c r="R139" s="78" t="str">
        <f t="shared" si="14"/>
        <v/>
      </c>
      <c r="S139" s="78" t="str">
        <f t="shared" si="15"/>
        <v/>
      </c>
      <c r="T139" s="78" t="str">
        <f t="shared" si="16"/>
        <v>-- Killip分類</v>
      </c>
      <c r="U139" s="4"/>
      <c r="AA139" s="4"/>
      <c r="AB139" s="4"/>
      <c r="AC139" s="4"/>
      <c r="AD139" s="4"/>
      <c r="AE139" s="4"/>
      <c r="AF139" s="4"/>
      <c r="AG139" s="4"/>
      <c r="AH139" s="4"/>
      <c r="AI139" s="4"/>
      <c r="AJ139" s="78" t="str">
        <f>IF(E139="○",IF(COUNTA(E$13:E139)=1,"",",")&amp;D139,"")</f>
        <v/>
      </c>
      <c r="AK139" s="4"/>
      <c r="AL139" s="4"/>
      <c r="AM139" s="4"/>
      <c r="AN139" s="4"/>
      <c r="AO139" s="4"/>
      <c r="AP139" s="4"/>
      <c r="AQ139" s="4"/>
      <c r="AR139" s="4"/>
      <c r="AS139" s="78" t="str">
        <f>"COMMENT ON COLUMN "&amp;エンティティ一覧!$O$2&amp;"."&amp;D$8&amp;"."&amp;D139&amp;" IS '"&amp;C139&amp;"';"</f>
        <v>COMMENT ON COLUMN milscm_2023_010.azn_202310_base_merge_dpc_ff1.m050030_killip IS 'Killip分類';</v>
      </c>
      <c r="AT139" s="4"/>
      <c r="AU139" s="4"/>
      <c r="AV139" s="4"/>
      <c r="AW139" s="4"/>
      <c r="AX139" s="4"/>
      <c r="AY139" s="4"/>
      <c r="AZ139" s="4"/>
    </row>
    <row r="140" spans="1:52" s="25" customFormat="1" ht="37.5">
      <c r="A140" s="4"/>
      <c r="B140" s="21">
        <f t="shared" si="2"/>
        <v>128</v>
      </c>
      <c r="C140" s="6" t="s">
        <v>777</v>
      </c>
      <c r="D140" s="6" t="s">
        <v>778</v>
      </c>
      <c r="E140" s="8"/>
      <c r="F140" s="7" t="s">
        <v>318</v>
      </c>
      <c r="G140" s="7" t="str">
        <f t="shared" si="3"/>
        <v>text</v>
      </c>
      <c r="H140" s="26"/>
      <c r="I140" s="10"/>
      <c r="J140" s="11" t="s">
        <v>856</v>
      </c>
      <c r="L140" s="4"/>
      <c r="M140" s="4"/>
      <c r="N140" s="78"/>
      <c r="O140" s="78"/>
      <c r="P140" s="78" t="str">
        <f t="shared" si="12"/>
        <v>,m050040_ketsuatsu</v>
      </c>
      <c r="Q140" s="78" t="str">
        <f t="shared" si="13"/>
        <v>TEXT</v>
      </c>
      <c r="R140" s="78" t="str">
        <f t="shared" si="14"/>
        <v/>
      </c>
      <c r="S140" s="78" t="str">
        <f t="shared" si="15"/>
        <v/>
      </c>
      <c r="T140" s="78" t="str">
        <f t="shared" si="16"/>
        <v>-- 収縮期血圧</v>
      </c>
      <c r="U140" s="4"/>
      <c r="AA140" s="4"/>
      <c r="AB140" s="4"/>
      <c r="AC140" s="4"/>
      <c r="AD140" s="4"/>
      <c r="AE140" s="4"/>
      <c r="AF140" s="4"/>
      <c r="AG140" s="4"/>
      <c r="AH140" s="4"/>
      <c r="AI140" s="4"/>
      <c r="AJ140" s="78" t="str">
        <f>IF(E140="○",IF(COUNTA(E$13:E140)=1,"",",")&amp;D140,"")</f>
        <v/>
      </c>
      <c r="AK140" s="4"/>
      <c r="AL140" s="4"/>
      <c r="AM140" s="4"/>
      <c r="AN140" s="4"/>
      <c r="AO140" s="4"/>
      <c r="AP140" s="4"/>
      <c r="AQ140" s="4"/>
      <c r="AR140" s="4"/>
      <c r="AS140" s="78" t="str">
        <f>"COMMENT ON COLUMN "&amp;エンティティ一覧!$O$2&amp;"."&amp;D$8&amp;"."&amp;D140&amp;" IS '"&amp;C140&amp;"';"</f>
        <v>COMMENT ON COLUMN milscm_2023_010.azn_202310_base_merge_dpc_ff1.m050040_ketsuatsu IS '収縮期血圧';</v>
      </c>
      <c r="AT140" s="4"/>
      <c r="AU140" s="4"/>
      <c r="AV140" s="4"/>
      <c r="AW140" s="4"/>
      <c r="AX140" s="4"/>
      <c r="AY140" s="4"/>
      <c r="AZ140" s="4"/>
    </row>
    <row r="141" spans="1:52" s="25" customFormat="1" ht="75">
      <c r="A141" s="4"/>
      <c r="B141" s="21">
        <f t="shared" si="2"/>
        <v>129</v>
      </c>
      <c r="C141" s="13" t="s">
        <v>779</v>
      </c>
      <c r="D141" s="13" t="s">
        <v>780</v>
      </c>
      <c r="E141" s="7"/>
      <c r="F141" s="7" t="s">
        <v>318</v>
      </c>
      <c r="G141" s="7" t="str">
        <f t="shared" si="3"/>
        <v>text</v>
      </c>
      <c r="H141" s="58"/>
      <c r="I141" s="23"/>
      <c r="J141" s="24" t="s">
        <v>857</v>
      </c>
      <c r="L141" s="4"/>
      <c r="M141" s="4"/>
      <c r="N141" s="78"/>
      <c r="O141" s="78"/>
      <c r="P141" s="78" t="str">
        <f t="shared" si="12"/>
        <v>,m050050_acuteMI</v>
      </c>
      <c r="Q141" s="78" t="str">
        <f t="shared" si="13"/>
        <v>TEXT</v>
      </c>
      <c r="R141" s="78" t="str">
        <f t="shared" si="14"/>
        <v/>
      </c>
      <c r="S141" s="78" t="str">
        <f t="shared" si="15"/>
        <v/>
      </c>
      <c r="T141" s="78" t="str">
        <f t="shared" si="16"/>
        <v>-- 急性心筋梗塞の発症時期</v>
      </c>
      <c r="U141" s="4"/>
      <c r="AA141" s="4"/>
      <c r="AB141" s="4"/>
      <c r="AC141" s="4"/>
      <c r="AD141" s="4"/>
      <c r="AE141" s="4"/>
      <c r="AF141" s="4"/>
      <c r="AG141" s="4"/>
      <c r="AH141" s="4"/>
      <c r="AI141" s="4"/>
      <c r="AJ141" s="78" t="str">
        <f>IF(E141="○",IF(COUNTA(E$13:E141)=1,"",",")&amp;D141,"")</f>
        <v/>
      </c>
      <c r="AK141" s="4"/>
      <c r="AL141" s="4"/>
      <c r="AM141" s="4"/>
      <c r="AN141" s="4"/>
      <c r="AO141" s="4"/>
      <c r="AP141" s="4"/>
      <c r="AQ141" s="4"/>
      <c r="AR141" s="4"/>
      <c r="AS141" s="78" t="str">
        <f>"COMMENT ON COLUMN "&amp;エンティティ一覧!$O$2&amp;"."&amp;D$8&amp;"."&amp;D141&amp;" IS '"&amp;C141&amp;"';"</f>
        <v>COMMENT ON COLUMN milscm_2023_010.azn_202310_base_merge_dpc_ff1.m050050_acuteMI IS '急性心筋梗塞の発症時期';</v>
      </c>
      <c r="AT141" s="4"/>
      <c r="AU141" s="4"/>
      <c r="AV141" s="4"/>
      <c r="AW141" s="4"/>
      <c r="AX141" s="4"/>
      <c r="AY141" s="4"/>
      <c r="AZ141" s="4"/>
    </row>
    <row r="142" spans="1:52" s="25" customFormat="1" ht="75">
      <c r="A142" s="4"/>
      <c r="B142" s="21">
        <f t="shared" si="2"/>
        <v>130</v>
      </c>
      <c r="C142" s="13" t="s">
        <v>781</v>
      </c>
      <c r="D142" s="13" t="s">
        <v>782</v>
      </c>
      <c r="E142" s="7"/>
      <c r="F142" s="7" t="s">
        <v>318</v>
      </c>
      <c r="G142" s="7" t="str">
        <f t="shared" si="3"/>
        <v>text</v>
      </c>
      <c r="H142" s="58"/>
      <c r="I142" s="23"/>
      <c r="J142" s="24" t="s">
        <v>858</v>
      </c>
      <c r="L142" s="4"/>
      <c r="M142" s="4"/>
      <c r="N142" s="78"/>
      <c r="O142" s="78"/>
      <c r="P142" s="78" t="str">
        <f t="shared" si="12"/>
        <v>,m050060_nyuin_kusyutsuritsu</v>
      </c>
      <c r="Q142" s="78" t="str">
        <f t="shared" si="13"/>
        <v>TEXT</v>
      </c>
      <c r="R142" s="78" t="str">
        <f t="shared" si="14"/>
        <v/>
      </c>
      <c r="S142" s="78" t="str">
        <f t="shared" si="15"/>
        <v/>
      </c>
      <c r="T142" s="78" t="str">
        <f t="shared" si="16"/>
        <v>-- 入院時左室駆出率</v>
      </c>
      <c r="U142" s="4"/>
      <c r="AA142" s="4"/>
      <c r="AB142" s="4"/>
      <c r="AC142" s="4"/>
      <c r="AD142" s="4"/>
      <c r="AE142" s="4"/>
      <c r="AF142" s="4"/>
      <c r="AG142" s="4"/>
      <c r="AH142" s="4"/>
      <c r="AI142" s="4"/>
      <c r="AJ142" s="78" t="str">
        <f>IF(E142="○",IF(COUNTA(E$13:E142)=1,"",",")&amp;D142,"")</f>
        <v/>
      </c>
      <c r="AK142" s="4"/>
      <c r="AL142" s="4"/>
      <c r="AM142" s="4"/>
      <c r="AN142" s="4"/>
      <c r="AO142" s="4"/>
      <c r="AP142" s="4"/>
      <c r="AQ142" s="4"/>
      <c r="AR142" s="4"/>
      <c r="AS142" s="78" t="str">
        <f>"COMMENT ON COLUMN "&amp;エンティティ一覧!$O$2&amp;"."&amp;D$8&amp;"."&amp;D142&amp;" IS '"&amp;C142&amp;"';"</f>
        <v>COMMENT ON COLUMN milscm_2023_010.azn_202310_base_merge_dpc_ff1.m050060_nyuin_kusyutsuritsu IS '入院時左室駆出率';</v>
      </c>
      <c r="AT142" s="4"/>
      <c r="AU142" s="4"/>
      <c r="AV142" s="4"/>
      <c r="AW142" s="4"/>
      <c r="AX142" s="4"/>
      <c r="AY142" s="4"/>
      <c r="AZ142" s="4"/>
    </row>
    <row r="143" spans="1:52" s="25" customFormat="1" ht="56.25">
      <c r="A143" s="4"/>
      <c r="B143" s="21">
        <f t="shared" si="2"/>
        <v>131</v>
      </c>
      <c r="C143" s="13" t="s">
        <v>783</v>
      </c>
      <c r="D143" s="13" t="s">
        <v>784</v>
      </c>
      <c r="E143" s="7"/>
      <c r="F143" s="7" t="s">
        <v>318</v>
      </c>
      <c r="G143" s="7" t="str">
        <f t="shared" si="3"/>
        <v>text</v>
      </c>
      <c r="H143" s="58"/>
      <c r="I143" s="23"/>
      <c r="J143" s="24" t="s">
        <v>859</v>
      </c>
      <c r="L143" s="4"/>
      <c r="M143" s="4"/>
      <c r="N143" s="78"/>
      <c r="O143" s="78"/>
      <c r="P143" s="78" t="str">
        <f t="shared" si="12"/>
        <v>,m050070_stanford_ab</v>
      </c>
      <c r="Q143" s="78" t="str">
        <f t="shared" si="13"/>
        <v>TEXT</v>
      </c>
      <c r="R143" s="78" t="str">
        <f t="shared" si="14"/>
        <v/>
      </c>
      <c r="S143" s="78" t="str">
        <f t="shared" si="15"/>
        <v/>
      </c>
      <c r="T143" s="78" t="str">
        <f t="shared" si="16"/>
        <v>-- Stanford A/B型</v>
      </c>
      <c r="U143" s="4"/>
      <c r="AA143" s="4"/>
      <c r="AB143" s="4"/>
      <c r="AC143" s="4"/>
      <c r="AD143" s="4"/>
      <c r="AE143" s="4"/>
      <c r="AF143" s="4"/>
      <c r="AG143" s="4"/>
      <c r="AH143" s="4"/>
      <c r="AI143" s="4"/>
      <c r="AJ143" s="78" t="str">
        <f>IF(E143="○",IF(COUNTA(E$13:E143)=1,"",",")&amp;D143,"")</f>
        <v/>
      </c>
      <c r="AK143" s="4"/>
      <c r="AL143" s="4"/>
      <c r="AM143" s="4"/>
      <c r="AN143" s="4"/>
      <c r="AO143" s="4"/>
      <c r="AP143" s="4"/>
      <c r="AQ143" s="4"/>
      <c r="AR143" s="4"/>
      <c r="AS143" s="78" t="str">
        <f>"COMMENT ON COLUMN "&amp;エンティティ一覧!$O$2&amp;"."&amp;D$8&amp;"."&amp;D143&amp;" IS '"&amp;C143&amp;"';"</f>
        <v>COMMENT ON COLUMN milscm_2023_010.azn_202310_base_merge_dpc_ff1.m050070_stanford_ab IS 'Stanford A/B型';</v>
      </c>
      <c r="AT143" s="4"/>
      <c r="AU143" s="4"/>
      <c r="AV143" s="4"/>
      <c r="AW143" s="4"/>
      <c r="AX143" s="4"/>
      <c r="AY143" s="4"/>
      <c r="AZ143" s="4"/>
    </row>
    <row r="144" spans="1:52" s="25" customFormat="1" ht="37.5">
      <c r="A144" s="4"/>
      <c r="B144" s="21">
        <f t="shared" si="2"/>
        <v>132</v>
      </c>
      <c r="C144" s="6" t="s">
        <v>785</v>
      </c>
      <c r="D144" s="6" t="s">
        <v>786</v>
      </c>
      <c r="E144" s="8"/>
      <c r="F144" s="7" t="s">
        <v>318</v>
      </c>
      <c r="G144" s="7" t="str">
        <f t="shared" si="3"/>
        <v>text</v>
      </c>
      <c r="H144" s="26"/>
      <c r="I144" s="10"/>
      <c r="J144" s="11" t="s">
        <v>860</v>
      </c>
      <c r="L144" s="4"/>
      <c r="M144" s="4"/>
      <c r="N144" s="78"/>
      <c r="O144" s="78"/>
      <c r="P144" s="78" t="str">
        <f t="shared" si="12"/>
        <v>,m060010_kankohen_child_pugh</v>
      </c>
      <c r="Q144" s="78" t="str">
        <f t="shared" si="13"/>
        <v>TEXT</v>
      </c>
      <c r="R144" s="78" t="str">
        <f t="shared" si="14"/>
        <v/>
      </c>
      <c r="S144" s="78" t="str">
        <f t="shared" si="15"/>
        <v/>
      </c>
      <c r="T144" s="78" t="str">
        <f t="shared" si="16"/>
        <v>-- 肝硬変のChild-Pugh分類</v>
      </c>
      <c r="U144" s="4"/>
      <c r="AA144" s="4"/>
      <c r="AB144" s="4"/>
      <c r="AC144" s="4"/>
      <c r="AD144" s="4"/>
      <c r="AE144" s="4"/>
      <c r="AF144" s="4"/>
      <c r="AG144" s="4"/>
      <c r="AH144" s="4"/>
      <c r="AI144" s="4"/>
      <c r="AJ144" s="78" t="str">
        <f>IF(E144="○",IF(COUNTA(E$13:E144)=1,"",",")&amp;D144,"")</f>
        <v/>
      </c>
      <c r="AK144" s="4"/>
      <c r="AL144" s="4"/>
      <c r="AM144" s="4"/>
      <c r="AN144" s="4"/>
      <c r="AO144" s="4"/>
      <c r="AP144" s="4"/>
      <c r="AQ144" s="4"/>
      <c r="AR144" s="4"/>
      <c r="AS144" s="78" t="str">
        <f>"COMMENT ON COLUMN "&amp;エンティティ一覧!$O$2&amp;"."&amp;D$8&amp;"."&amp;D144&amp;" IS '"&amp;C144&amp;"';"</f>
        <v>COMMENT ON COLUMN milscm_2023_010.azn_202310_base_merge_dpc_ff1.m060010_kankohen_child_pugh IS '肝硬変のChild-Pugh分類';</v>
      </c>
      <c r="AT144" s="4"/>
      <c r="AU144" s="4"/>
      <c r="AV144" s="4"/>
      <c r="AW144" s="4"/>
      <c r="AX144" s="4"/>
      <c r="AY144" s="4"/>
      <c r="AZ144" s="4"/>
    </row>
    <row r="145" spans="1:52" s="25" customFormat="1" ht="31.5">
      <c r="A145" s="4"/>
      <c r="B145" s="21">
        <f t="shared" si="2"/>
        <v>133</v>
      </c>
      <c r="C145" s="13" t="s">
        <v>787</v>
      </c>
      <c r="D145" s="13" t="s">
        <v>788</v>
      </c>
      <c r="E145" s="7"/>
      <c r="F145" s="7" t="s">
        <v>318</v>
      </c>
      <c r="G145" s="7" t="str">
        <f t="shared" si="3"/>
        <v>text</v>
      </c>
      <c r="H145" s="26"/>
      <c r="I145" s="10"/>
      <c r="J145" s="11"/>
      <c r="L145" s="4"/>
      <c r="M145" s="4"/>
      <c r="N145" s="78"/>
      <c r="O145" s="78"/>
      <c r="P145" s="78" t="str">
        <f t="shared" si="12"/>
        <v>,m060020_kyuseisuien_jushodo</v>
      </c>
      <c r="Q145" s="78" t="str">
        <f t="shared" si="13"/>
        <v>TEXT</v>
      </c>
      <c r="R145" s="78" t="str">
        <f t="shared" si="14"/>
        <v/>
      </c>
      <c r="S145" s="78" t="str">
        <f t="shared" si="15"/>
        <v/>
      </c>
      <c r="T145" s="78" t="str">
        <f t="shared" si="16"/>
        <v>-- 急性膵炎の重症度分類</v>
      </c>
      <c r="U145" s="4"/>
      <c r="AA145" s="4"/>
      <c r="AB145" s="4"/>
      <c r="AC145" s="4"/>
      <c r="AD145" s="4"/>
      <c r="AE145" s="4"/>
      <c r="AF145" s="4"/>
      <c r="AG145" s="4"/>
      <c r="AH145" s="4"/>
      <c r="AI145" s="4"/>
      <c r="AJ145" s="78" t="str">
        <f>IF(E145="○",IF(COUNTA(E$13:E145)=1,"",",")&amp;D145,"")</f>
        <v/>
      </c>
      <c r="AK145" s="4"/>
      <c r="AL145" s="4"/>
      <c r="AM145" s="4"/>
      <c r="AN145" s="4"/>
      <c r="AO145" s="4"/>
      <c r="AP145" s="4"/>
      <c r="AQ145" s="4"/>
      <c r="AR145" s="4"/>
      <c r="AS145" s="78" t="str">
        <f>"COMMENT ON COLUMN "&amp;エンティティ一覧!$O$2&amp;"."&amp;D$8&amp;"."&amp;D145&amp;" IS '"&amp;C145&amp;"';"</f>
        <v>COMMENT ON COLUMN milscm_2023_010.azn_202310_base_merge_dpc_ff1.m060020_kyuseisuien_jushodo IS '急性膵炎の重症度分類';</v>
      </c>
      <c r="AT145" s="4"/>
      <c r="AU145" s="4"/>
      <c r="AV145" s="4"/>
      <c r="AW145" s="4"/>
      <c r="AX145" s="4"/>
      <c r="AY145" s="4"/>
      <c r="AZ145" s="4"/>
    </row>
    <row r="146" spans="1:52" s="25" customFormat="1" ht="31.5">
      <c r="A146" s="4"/>
      <c r="B146" s="21">
        <f t="shared" si="2"/>
        <v>134</v>
      </c>
      <c r="C146" s="6" t="s">
        <v>789</v>
      </c>
      <c r="D146" s="6" t="s">
        <v>790</v>
      </c>
      <c r="E146" s="8"/>
      <c r="F146" s="7" t="s">
        <v>318</v>
      </c>
      <c r="G146" s="7" t="str">
        <f t="shared" si="3"/>
        <v>text</v>
      </c>
      <c r="H146" s="58"/>
      <c r="I146" s="23"/>
      <c r="J146" s="24" t="s">
        <v>850</v>
      </c>
      <c r="L146" s="4"/>
      <c r="M146" s="4"/>
      <c r="N146" s="78"/>
      <c r="O146" s="78"/>
      <c r="P146" s="78" t="str">
        <f t="shared" si="12"/>
        <v>,m070010_riumachi_flag</v>
      </c>
      <c r="Q146" s="78" t="str">
        <f t="shared" si="13"/>
        <v>TEXT</v>
      </c>
      <c r="R146" s="78" t="str">
        <f t="shared" si="14"/>
        <v/>
      </c>
      <c r="S146" s="78" t="str">
        <f t="shared" si="15"/>
        <v/>
      </c>
      <c r="T146" s="78" t="str">
        <f t="shared" si="16"/>
        <v>-- 抗リウマチ分子標的薬の初回導入治療の有無</v>
      </c>
      <c r="U146" s="4"/>
      <c r="AA146" s="4"/>
      <c r="AB146" s="4"/>
      <c r="AC146" s="4"/>
      <c r="AD146" s="4"/>
      <c r="AE146" s="4"/>
      <c r="AF146" s="4"/>
      <c r="AG146" s="4"/>
      <c r="AH146" s="4"/>
      <c r="AI146" s="4"/>
      <c r="AJ146" s="78" t="str">
        <f>IF(E146="○",IF(COUNTA(E$13:E146)=1,"",",")&amp;D146,"")</f>
        <v/>
      </c>
      <c r="AK146" s="4"/>
      <c r="AL146" s="4"/>
      <c r="AM146" s="4"/>
      <c r="AN146" s="4"/>
      <c r="AO146" s="4"/>
      <c r="AP146" s="4"/>
      <c r="AQ146" s="4"/>
      <c r="AR146" s="4"/>
      <c r="AS146" s="78" t="str">
        <f>"COMMENT ON COLUMN "&amp;エンティティ一覧!$O$2&amp;"."&amp;D$8&amp;"."&amp;D146&amp;" IS '"&amp;C146&amp;"';"</f>
        <v>COMMENT ON COLUMN milscm_2023_010.azn_202310_base_merge_dpc_ff1.m070010_riumachi_flag IS '抗リウマチ分子標的薬の初回導入治療の有無';</v>
      </c>
      <c r="AT146" s="4"/>
      <c r="AU146" s="4"/>
      <c r="AV146" s="4"/>
      <c r="AW146" s="4"/>
      <c r="AX146" s="4"/>
      <c r="AY146" s="4"/>
      <c r="AZ146" s="4"/>
    </row>
    <row r="147" spans="1:52" s="25" customFormat="1" ht="37.5">
      <c r="A147" s="4"/>
      <c r="B147" s="21">
        <f t="shared" si="2"/>
        <v>135</v>
      </c>
      <c r="C147" s="13" t="s">
        <v>791</v>
      </c>
      <c r="D147" s="13" t="s">
        <v>792</v>
      </c>
      <c r="E147" s="7"/>
      <c r="F147" s="7" t="s">
        <v>318</v>
      </c>
      <c r="G147" s="7" t="str">
        <f t="shared" si="3"/>
        <v>text</v>
      </c>
      <c r="H147" s="26"/>
      <c r="I147" s="10"/>
      <c r="J147" s="11" t="s">
        <v>861</v>
      </c>
      <c r="L147" s="4"/>
      <c r="M147" s="4"/>
      <c r="N147" s="78"/>
      <c r="O147" s="78"/>
      <c r="P147" s="78" t="str">
        <f t="shared" si="12"/>
        <v>,m120010_nyuin_bunben_flag</v>
      </c>
      <c r="Q147" s="78" t="str">
        <f t="shared" si="13"/>
        <v>TEXT</v>
      </c>
      <c r="R147" s="78" t="str">
        <f t="shared" si="14"/>
        <v/>
      </c>
      <c r="S147" s="78" t="str">
        <f t="shared" si="15"/>
        <v/>
      </c>
      <c r="T147" s="78" t="str">
        <f t="shared" si="16"/>
        <v>-- 入院周辺の分娩の有無</v>
      </c>
      <c r="U147" s="4"/>
      <c r="AA147" s="4"/>
      <c r="AB147" s="4"/>
      <c r="AC147" s="4"/>
      <c r="AD147" s="4"/>
      <c r="AE147" s="4"/>
      <c r="AF147" s="4"/>
      <c r="AG147" s="4"/>
      <c r="AH147" s="4"/>
      <c r="AI147" s="4"/>
      <c r="AJ147" s="78" t="str">
        <f>IF(E147="○",IF(COUNTA(E$13:E147)=1,"",",")&amp;D147,"")</f>
        <v/>
      </c>
      <c r="AK147" s="4"/>
      <c r="AL147" s="4"/>
      <c r="AM147" s="4"/>
      <c r="AN147" s="4"/>
      <c r="AO147" s="4"/>
      <c r="AP147" s="4"/>
      <c r="AQ147" s="4"/>
      <c r="AR147" s="4"/>
      <c r="AS147" s="78" t="str">
        <f>"COMMENT ON COLUMN "&amp;エンティティ一覧!$O$2&amp;"."&amp;D$8&amp;"."&amp;D147&amp;" IS '"&amp;C147&amp;"';"</f>
        <v>COMMENT ON COLUMN milscm_2023_010.azn_202310_base_merge_dpc_ff1.m120010_nyuin_bunben_flag IS '入院周辺の分娩の有無';</v>
      </c>
      <c r="AT147" s="4"/>
      <c r="AU147" s="4"/>
      <c r="AV147" s="4"/>
      <c r="AW147" s="4"/>
      <c r="AX147" s="4"/>
      <c r="AY147" s="4"/>
      <c r="AZ147" s="4"/>
    </row>
    <row r="148" spans="1:52" s="25" customFormat="1" ht="31.5">
      <c r="A148" s="4"/>
      <c r="B148" s="21">
        <f t="shared" si="2"/>
        <v>136</v>
      </c>
      <c r="C148" s="6" t="s">
        <v>793</v>
      </c>
      <c r="D148" s="6" t="s">
        <v>794</v>
      </c>
      <c r="E148" s="8"/>
      <c r="F148" s="7" t="s">
        <v>318</v>
      </c>
      <c r="G148" s="7" t="str">
        <f t="shared" si="3"/>
        <v>text</v>
      </c>
      <c r="H148" s="58"/>
      <c r="I148" s="23"/>
      <c r="J148" s="24" t="s">
        <v>862</v>
      </c>
      <c r="L148" s="4"/>
      <c r="M148" s="4"/>
      <c r="N148" s="78"/>
      <c r="O148" s="78"/>
      <c r="P148" s="78" t="str">
        <f t="shared" si="12"/>
        <v>,m120010_bunben_shukketsuryo</v>
      </c>
      <c r="Q148" s="78" t="str">
        <f t="shared" si="13"/>
        <v>TEXT</v>
      </c>
      <c r="R148" s="78" t="str">
        <f t="shared" si="14"/>
        <v/>
      </c>
      <c r="S148" s="78" t="str">
        <f t="shared" si="15"/>
        <v/>
      </c>
      <c r="T148" s="78" t="str">
        <f t="shared" si="16"/>
        <v>-- 分娩時出血量</v>
      </c>
      <c r="U148" s="4"/>
      <c r="AA148" s="4"/>
      <c r="AB148" s="4"/>
      <c r="AC148" s="4"/>
      <c r="AD148" s="4"/>
      <c r="AE148" s="4"/>
      <c r="AF148" s="4"/>
      <c r="AG148" s="4"/>
      <c r="AH148" s="4"/>
      <c r="AI148" s="4"/>
      <c r="AJ148" s="78" t="str">
        <f>IF(E148="○",IF(COUNTA(E$13:E148)=1,"",",")&amp;D148,"")</f>
        <v/>
      </c>
      <c r="AK148" s="4"/>
      <c r="AL148" s="4"/>
      <c r="AM148" s="4"/>
      <c r="AN148" s="4"/>
      <c r="AO148" s="4"/>
      <c r="AP148" s="4"/>
      <c r="AQ148" s="4"/>
      <c r="AR148" s="4"/>
      <c r="AS148" s="78" t="str">
        <f>"COMMENT ON COLUMN "&amp;エンティティ一覧!$O$2&amp;"."&amp;D$8&amp;"."&amp;D148&amp;" IS '"&amp;C148&amp;"';"</f>
        <v>COMMENT ON COLUMN milscm_2023_010.azn_202310_base_merge_dpc_ff1.m120010_bunben_shukketsuryo IS '分娩時出血量';</v>
      </c>
      <c r="AT148" s="4"/>
      <c r="AU148" s="4"/>
      <c r="AV148" s="4"/>
      <c r="AW148" s="4"/>
      <c r="AX148" s="4"/>
      <c r="AY148" s="4"/>
      <c r="AZ148" s="4"/>
    </row>
    <row r="149" spans="1:52" s="25" customFormat="1">
      <c r="A149" s="4"/>
      <c r="B149" s="21">
        <f t="shared" si="2"/>
        <v>137</v>
      </c>
      <c r="C149" s="13" t="s">
        <v>795</v>
      </c>
      <c r="D149" s="13" t="s">
        <v>796</v>
      </c>
      <c r="E149" s="7"/>
      <c r="F149" s="7" t="s">
        <v>318</v>
      </c>
      <c r="G149" s="7" t="str">
        <f t="shared" si="3"/>
        <v>text</v>
      </c>
      <c r="H149" s="26"/>
      <c r="I149" s="10"/>
      <c r="J149" s="11" t="s">
        <v>863</v>
      </c>
      <c r="L149" s="4"/>
      <c r="M149" s="4"/>
      <c r="N149" s="78"/>
      <c r="O149" s="78"/>
      <c r="P149" s="78" t="str">
        <f t="shared" si="12"/>
        <v>,m160010_burnindex</v>
      </c>
      <c r="Q149" s="78" t="str">
        <f t="shared" si="13"/>
        <v>TEXT</v>
      </c>
      <c r="R149" s="78" t="str">
        <f t="shared" si="14"/>
        <v/>
      </c>
      <c r="S149" s="78" t="str">
        <f t="shared" si="15"/>
        <v/>
      </c>
      <c r="T149" s="78" t="str">
        <f t="shared" si="16"/>
        <v>-- BurnIndex</v>
      </c>
      <c r="U149" s="4"/>
      <c r="AA149" s="4"/>
      <c r="AB149" s="4"/>
      <c r="AC149" s="4"/>
      <c r="AD149" s="4"/>
      <c r="AE149" s="4"/>
      <c r="AF149" s="4"/>
      <c r="AG149" s="4"/>
      <c r="AH149" s="4"/>
      <c r="AI149" s="4"/>
      <c r="AJ149" s="78" t="str">
        <f>IF(E149="○",IF(COUNTA(E$13:E149)=1,"",",")&amp;D149,"")</f>
        <v/>
      </c>
      <c r="AK149" s="4"/>
      <c r="AL149" s="4"/>
      <c r="AM149" s="4"/>
      <c r="AN149" s="4"/>
      <c r="AO149" s="4"/>
      <c r="AP149" s="4"/>
      <c r="AQ149" s="4"/>
      <c r="AR149" s="4"/>
      <c r="AS149" s="78" t="str">
        <f>"COMMENT ON COLUMN "&amp;エンティティ一覧!$O$2&amp;"."&amp;D$8&amp;"."&amp;D149&amp;" IS '"&amp;C149&amp;"';"</f>
        <v>COMMENT ON COLUMN milscm_2023_010.azn_202310_base_merge_dpc_ff1.m160010_burnindex IS 'BurnIndex';</v>
      </c>
      <c r="AT149" s="4"/>
      <c r="AU149" s="4"/>
      <c r="AV149" s="4"/>
      <c r="AW149" s="4"/>
      <c r="AX149" s="4"/>
      <c r="AY149" s="4"/>
      <c r="AZ149" s="4"/>
    </row>
    <row r="150" spans="1:52" s="25" customFormat="1">
      <c r="A150" s="4"/>
      <c r="B150" s="21">
        <f t="shared" si="2"/>
        <v>138</v>
      </c>
      <c r="C150" s="6" t="s">
        <v>797</v>
      </c>
      <c r="D150" s="6" t="s">
        <v>798</v>
      </c>
      <c r="E150" s="8"/>
      <c r="F150" s="7" t="s">
        <v>318</v>
      </c>
      <c r="G150" s="7" t="str">
        <f t="shared" si="3"/>
        <v>text</v>
      </c>
      <c r="H150" s="58"/>
      <c r="I150" s="23"/>
      <c r="J150" s="24"/>
      <c r="L150" s="4"/>
      <c r="M150" s="4"/>
      <c r="N150" s="78"/>
      <c r="O150" s="78"/>
      <c r="P150" s="78" t="str">
        <f t="shared" si="12"/>
        <v>,m170010_nyuin_gaf</v>
      </c>
      <c r="Q150" s="78" t="str">
        <f t="shared" si="13"/>
        <v>TEXT</v>
      </c>
      <c r="R150" s="78" t="str">
        <f t="shared" si="14"/>
        <v/>
      </c>
      <c r="S150" s="78" t="str">
        <f t="shared" si="15"/>
        <v/>
      </c>
      <c r="T150" s="78" t="str">
        <f t="shared" si="16"/>
        <v>-- 入院時GAF尺度</v>
      </c>
      <c r="U150" s="4"/>
      <c r="AA150" s="4"/>
      <c r="AB150" s="4"/>
      <c r="AC150" s="4"/>
      <c r="AD150" s="4"/>
      <c r="AE150" s="4"/>
      <c r="AF150" s="4"/>
      <c r="AG150" s="4"/>
      <c r="AH150" s="4"/>
      <c r="AI150" s="4"/>
      <c r="AJ150" s="78" t="str">
        <f>IF(E150="○",IF(COUNTA(E$13:E150)=1,"",",")&amp;D150,"")</f>
        <v/>
      </c>
      <c r="AK150" s="4"/>
      <c r="AL150" s="4"/>
      <c r="AM150" s="4"/>
      <c r="AN150" s="4"/>
      <c r="AO150" s="4"/>
      <c r="AP150" s="4"/>
      <c r="AQ150" s="4"/>
      <c r="AR150" s="4"/>
      <c r="AS150" s="78" t="str">
        <f>"COMMENT ON COLUMN "&amp;エンティティ一覧!$O$2&amp;"."&amp;D$8&amp;"."&amp;D150&amp;" IS '"&amp;C150&amp;"';"</f>
        <v>COMMENT ON COLUMN milscm_2023_010.azn_202310_base_merge_dpc_ff1.m170010_nyuin_gaf IS '入院時GAF尺度';</v>
      </c>
      <c r="AT150" s="4"/>
      <c r="AU150" s="4"/>
      <c r="AV150" s="4"/>
      <c r="AW150" s="4"/>
      <c r="AX150" s="4"/>
      <c r="AY150" s="4"/>
      <c r="AZ150" s="4"/>
    </row>
    <row r="151" spans="1:52" s="25" customFormat="1" ht="37.5">
      <c r="A151" s="4"/>
      <c r="B151" s="21">
        <f t="shared" si="2"/>
        <v>139</v>
      </c>
      <c r="C151" s="13" t="s">
        <v>799</v>
      </c>
      <c r="D151" s="13" t="s">
        <v>800</v>
      </c>
      <c r="E151" s="7"/>
      <c r="F151" s="7" t="s">
        <v>318</v>
      </c>
      <c r="G151" s="7" t="str">
        <f t="shared" si="3"/>
        <v>text</v>
      </c>
      <c r="H151" s="26"/>
      <c r="I151" s="10"/>
      <c r="J151" s="11" t="s">
        <v>864</v>
      </c>
      <c r="L151" s="4"/>
      <c r="M151" s="4"/>
      <c r="N151" s="78"/>
      <c r="O151" s="78"/>
      <c r="P151" s="78" t="str">
        <f t="shared" si="12"/>
        <v>,m170020_mental_nyuin_keitai</v>
      </c>
      <c r="Q151" s="78" t="str">
        <f t="shared" si="13"/>
        <v>TEXT</v>
      </c>
      <c r="R151" s="78" t="str">
        <f t="shared" si="14"/>
        <v/>
      </c>
      <c r="S151" s="78" t="str">
        <f t="shared" si="15"/>
        <v/>
      </c>
      <c r="T151" s="78" t="str">
        <f t="shared" si="16"/>
        <v>-- 精神保健福祉法における入院形態</v>
      </c>
      <c r="U151" s="4"/>
      <c r="AA151" s="4"/>
      <c r="AB151" s="4"/>
      <c r="AC151" s="4"/>
      <c r="AD151" s="4"/>
      <c r="AE151" s="4"/>
      <c r="AF151" s="4"/>
      <c r="AG151" s="4"/>
      <c r="AH151" s="4"/>
      <c r="AI151" s="4"/>
      <c r="AJ151" s="78" t="str">
        <f>IF(E151="○",IF(COUNTA(E$13:E151)=1,"",",")&amp;D151,"")</f>
        <v/>
      </c>
      <c r="AK151" s="4"/>
      <c r="AL151" s="4"/>
      <c r="AM151" s="4"/>
      <c r="AN151" s="4"/>
      <c r="AO151" s="4"/>
      <c r="AP151" s="4"/>
      <c r="AQ151" s="4"/>
      <c r="AR151" s="4"/>
      <c r="AS151" s="78" t="str">
        <f>"COMMENT ON COLUMN "&amp;エンティティ一覧!$O$2&amp;"."&amp;D$8&amp;"."&amp;D151&amp;" IS '"&amp;C151&amp;"';"</f>
        <v>COMMENT ON COLUMN milscm_2023_010.azn_202310_base_merge_dpc_ff1.m170020_mental_nyuin_keitai IS '精神保健福祉法における入院形態';</v>
      </c>
      <c r="AT151" s="4"/>
      <c r="AU151" s="4"/>
      <c r="AV151" s="4"/>
      <c r="AW151" s="4"/>
      <c r="AX151" s="4"/>
      <c r="AY151" s="4"/>
      <c r="AZ151" s="4"/>
    </row>
    <row r="152" spans="1:52" s="25" customFormat="1" ht="31.5">
      <c r="A152" s="4"/>
      <c r="B152" s="21">
        <f t="shared" si="2"/>
        <v>140</v>
      </c>
      <c r="C152" s="13" t="s">
        <v>801</v>
      </c>
      <c r="D152" s="13" t="s">
        <v>802</v>
      </c>
      <c r="E152" s="7"/>
      <c r="F152" s="7" t="s">
        <v>318</v>
      </c>
      <c r="G152" s="7" t="str">
        <f t="shared" si="3"/>
        <v>text</v>
      </c>
      <c r="H152" s="58"/>
      <c r="I152" s="23"/>
      <c r="J152" s="24" t="s">
        <v>865</v>
      </c>
      <c r="L152" s="4"/>
      <c r="M152" s="4"/>
      <c r="N152" s="78"/>
      <c r="O152" s="78"/>
      <c r="P152" s="78" t="str">
        <f t="shared" si="12"/>
        <v>,m170020_mental_kakuri_days</v>
      </c>
      <c r="Q152" s="78" t="str">
        <f t="shared" si="13"/>
        <v>TEXT</v>
      </c>
      <c r="R152" s="78" t="str">
        <f t="shared" si="14"/>
        <v/>
      </c>
      <c r="S152" s="78" t="str">
        <f t="shared" si="15"/>
        <v/>
      </c>
      <c r="T152" s="78" t="str">
        <f t="shared" si="16"/>
        <v>-- 精神保健福祉法に基づく隔離日数</v>
      </c>
      <c r="U152" s="4"/>
      <c r="AA152" s="4"/>
      <c r="AB152" s="4"/>
      <c r="AC152" s="4"/>
      <c r="AD152" s="4"/>
      <c r="AE152" s="4"/>
      <c r="AF152" s="4"/>
      <c r="AG152" s="4"/>
      <c r="AH152" s="4"/>
      <c r="AI152" s="4"/>
      <c r="AJ152" s="78" t="str">
        <f>IF(E152="○",IF(COUNTA(E$13:E152)=1,"",",")&amp;D152,"")</f>
        <v/>
      </c>
      <c r="AK152" s="4"/>
      <c r="AL152" s="4"/>
      <c r="AM152" s="4"/>
      <c r="AN152" s="4"/>
      <c r="AO152" s="4"/>
      <c r="AP152" s="4"/>
      <c r="AQ152" s="4"/>
      <c r="AR152" s="4"/>
      <c r="AS152" s="78" t="str">
        <f>"COMMENT ON COLUMN "&amp;エンティティ一覧!$O$2&amp;"."&amp;D$8&amp;"."&amp;D152&amp;" IS '"&amp;C152&amp;"';"</f>
        <v>COMMENT ON COLUMN milscm_2023_010.azn_202310_base_merge_dpc_ff1.m170020_mental_kakuri_days IS '精神保健福祉法に基づく隔離日数';</v>
      </c>
      <c r="AT152" s="4"/>
      <c r="AU152" s="4"/>
      <c r="AV152" s="4"/>
      <c r="AW152" s="4"/>
      <c r="AX152" s="4"/>
      <c r="AY152" s="4"/>
      <c r="AZ152" s="4"/>
    </row>
    <row r="153" spans="1:52" s="25" customFormat="1" ht="31.5">
      <c r="A153" s="4"/>
      <c r="B153" s="21">
        <f t="shared" si="2"/>
        <v>141</v>
      </c>
      <c r="C153" s="13" t="s">
        <v>803</v>
      </c>
      <c r="D153" s="13" t="s">
        <v>804</v>
      </c>
      <c r="E153" s="7"/>
      <c r="F153" s="7" t="s">
        <v>318</v>
      </c>
      <c r="G153" s="7" t="str">
        <f t="shared" si="3"/>
        <v>text</v>
      </c>
      <c r="H153" s="26"/>
      <c r="I153" s="10"/>
      <c r="J153" s="11" t="s">
        <v>865</v>
      </c>
      <c r="L153" s="4"/>
      <c r="M153" s="4"/>
      <c r="N153" s="78"/>
      <c r="O153" s="78"/>
      <c r="P153" s="78" t="str">
        <f t="shared" si="12"/>
        <v>,m170020_mental_kosoku_days</v>
      </c>
      <c r="Q153" s="78" t="str">
        <f t="shared" si="13"/>
        <v>TEXT</v>
      </c>
      <c r="R153" s="78" t="str">
        <f t="shared" si="14"/>
        <v/>
      </c>
      <c r="S153" s="78" t="str">
        <f t="shared" si="15"/>
        <v/>
      </c>
      <c r="T153" s="78" t="str">
        <f t="shared" si="16"/>
        <v>-- 精神保健福祉法に基づく身体拘束日数</v>
      </c>
      <c r="U153" s="4"/>
      <c r="AA153" s="4"/>
      <c r="AB153" s="4"/>
      <c r="AC153" s="4"/>
      <c r="AD153" s="4"/>
      <c r="AE153" s="4"/>
      <c r="AF153" s="4"/>
      <c r="AG153" s="4"/>
      <c r="AH153" s="4"/>
      <c r="AI153" s="4"/>
      <c r="AJ153" s="78" t="str">
        <f>IF(E153="○",IF(COUNTA(E$13:E153)=1,"",",")&amp;D153,"")</f>
        <v/>
      </c>
      <c r="AK153" s="4"/>
      <c r="AL153" s="4"/>
      <c r="AM153" s="4"/>
      <c r="AN153" s="4"/>
      <c r="AO153" s="4"/>
      <c r="AP153" s="4"/>
      <c r="AQ153" s="4"/>
      <c r="AR153" s="4"/>
      <c r="AS153" s="78" t="str">
        <f>"COMMENT ON COLUMN "&amp;エンティティ一覧!$O$2&amp;"."&amp;D$8&amp;"."&amp;D153&amp;" IS '"&amp;C153&amp;"';"</f>
        <v>COMMENT ON COLUMN milscm_2023_010.azn_202310_base_merge_dpc_ff1.m170020_mental_kosoku_days IS '精神保健福祉法に基づく身体拘束日数';</v>
      </c>
      <c r="AT153" s="4"/>
      <c r="AU153" s="4"/>
      <c r="AV153" s="4"/>
      <c r="AW153" s="4"/>
      <c r="AX153" s="4"/>
      <c r="AY153" s="4"/>
      <c r="AZ153" s="4"/>
    </row>
    <row r="154" spans="1:52" s="25" customFormat="1" ht="31.5">
      <c r="A154" s="4"/>
      <c r="B154" s="21">
        <f t="shared" si="2"/>
        <v>142</v>
      </c>
      <c r="C154" s="13" t="s">
        <v>805</v>
      </c>
      <c r="D154" s="13" t="s">
        <v>806</v>
      </c>
      <c r="E154" s="7"/>
      <c r="F154" s="7" t="s">
        <v>318</v>
      </c>
      <c r="G154" s="7" t="str">
        <f t="shared" si="3"/>
        <v>text</v>
      </c>
      <c r="H154" s="58"/>
      <c r="I154" s="23"/>
      <c r="J154" s="24" t="s">
        <v>866</v>
      </c>
      <c r="L154" s="4"/>
      <c r="M154" s="4"/>
      <c r="N154" s="78"/>
      <c r="O154" s="78"/>
      <c r="P154" s="78" t="str">
        <f t="shared" si="12"/>
        <v>,mzz0010_other_jusho_no</v>
      </c>
      <c r="Q154" s="78" t="str">
        <f t="shared" si="13"/>
        <v>TEXT</v>
      </c>
      <c r="R154" s="78" t="str">
        <f t="shared" si="14"/>
        <v/>
      </c>
      <c r="S154" s="78" t="str">
        <f t="shared" si="15"/>
        <v/>
      </c>
      <c r="T154" s="78" t="str">
        <f t="shared" si="16"/>
        <v>-- その他の重症度分類・分類番号または記号</v>
      </c>
      <c r="U154" s="4"/>
      <c r="AA154" s="4"/>
      <c r="AB154" s="4"/>
      <c r="AC154" s="4"/>
      <c r="AD154" s="4"/>
      <c r="AE154" s="4"/>
      <c r="AF154" s="4"/>
      <c r="AG154" s="4"/>
      <c r="AH154" s="4"/>
      <c r="AI154" s="4"/>
      <c r="AJ154" s="78" t="str">
        <f>IF(E154="○",IF(COUNTA(E$13:E154)=1,"",",")&amp;D154,"")</f>
        <v/>
      </c>
      <c r="AK154" s="4"/>
      <c r="AL154" s="4"/>
      <c r="AM154" s="4"/>
      <c r="AN154" s="4"/>
      <c r="AO154" s="4"/>
      <c r="AP154" s="4"/>
      <c r="AQ154" s="4"/>
      <c r="AR154" s="4"/>
      <c r="AS154" s="78" t="str">
        <f>"COMMENT ON COLUMN "&amp;エンティティ一覧!$O$2&amp;"."&amp;D$8&amp;"."&amp;D154&amp;" IS '"&amp;C154&amp;"';"</f>
        <v>COMMENT ON COLUMN milscm_2023_010.azn_202310_base_merge_dpc_ff1.mzz0010_other_jusho_no IS 'その他の重症度分類・分類番号または記号';</v>
      </c>
      <c r="AT154" s="4"/>
      <c r="AU154" s="4"/>
      <c r="AV154" s="4"/>
      <c r="AW154" s="4"/>
      <c r="AX154" s="4"/>
      <c r="AY154" s="4"/>
      <c r="AZ154" s="4"/>
    </row>
    <row r="155" spans="1:52" s="25" customFormat="1" ht="32.25" thickBot="1">
      <c r="A155" s="4"/>
      <c r="B155" s="27">
        <f>ROW()-12</f>
        <v>143</v>
      </c>
      <c r="C155" s="57" t="s">
        <v>807</v>
      </c>
      <c r="D155" s="57" t="s">
        <v>808</v>
      </c>
      <c r="E155" s="56"/>
      <c r="F155" s="56" t="s">
        <v>318</v>
      </c>
      <c r="G155" s="56" t="str">
        <f t="shared" si="3"/>
        <v>text</v>
      </c>
      <c r="H155" s="59"/>
      <c r="I155" s="60"/>
      <c r="J155" s="61" t="s">
        <v>866</v>
      </c>
      <c r="L155" s="4"/>
      <c r="M155" s="4"/>
      <c r="N155" s="78"/>
      <c r="O155" s="78"/>
      <c r="P155" s="78" t="str">
        <f t="shared" si="12"/>
        <v>,mzz0010_other_jusho_name</v>
      </c>
      <c r="Q155" s="78" t="str">
        <f t="shared" si="13"/>
        <v>TEXT</v>
      </c>
      <c r="R155" s="78" t="str">
        <f t="shared" si="14"/>
        <v/>
      </c>
      <c r="S155" s="78" t="str">
        <f t="shared" si="15"/>
        <v/>
      </c>
      <c r="T155" s="78" t="str">
        <f t="shared" si="16"/>
        <v>-- その他の重症度分類・名称</v>
      </c>
      <c r="U155" s="4"/>
      <c r="AA155" s="4"/>
      <c r="AB155" s="4"/>
      <c r="AC155" s="4"/>
      <c r="AD155" s="4"/>
      <c r="AE155" s="4"/>
      <c r="AF155" s="4"/>
      <c r="AG155" s="4"/>
      <c r="AH155" s="4"/>
      <c r="AI155" s="4"/>
      <c r="AJ155" s="78" t="str">
        <f>IF(E155="○",IF(COUNTA(E$13:E155)=1,"",",")&amp;D155,"")</f>
        <v/>
      </c>
      <c r="AK155" s="4"/>
      <c r="AL155" s="4"/>
      <c r="AM155" s="4"/>
      <c r="AN155" s="4"/>
      <c r="AO155" s="4"/>
      <c r="AP155" s="4"/>
      <c r="AQ155" s="4"/>
      <c r="AR155" s="4"/>
      <c r="AS155" s="78" t="str">
        <f>"COMMENT ON COLUMN "&amp;エンティティ一覧!$O$2&amp;"."&amp;D$8&amp;"."&amp;D155&amp;" IS '"&amp;C155&amp;"';"</f>
        <v>COMMENT ON COLUMN milscm_2023_010.azn_202310_base_merge_dpc_ff1.mzz0010_other_jusho_name IS 'その他の重症度分類・名称';</v>
      </c>
      <c r="AT155" s="4"/>
      <c r="AU155" s="4"/>
      <c r="AV155" s="4"/>
      <c r="AW155" s="4"/>
      <c r="AX155" s="4"/>
      <c r="AY155" s="4"/>
      <c r="AZ155" s="4"/>
    </row>
    <row r="156" spans="1:52">
      <c r="N156" s="78" t="s">
        <v>142</v>
      </c>
      <c r="O156" s="78"/>
      <c r="P156" s="78"/>
      <c r="Q156" s="78"/>
      <c r="R156" s="78"/>
      <c r="S156" s="78"/>
      <c r="T156" s="78"/>
      <c r="V156" s="25"/>
      <c r="W156" s="25"/>
      <c r="X156" s="25"/>
      <c r="Y156" s="25"/>
      <c r="Z156" s="25"/>
      <c r="AJ156" s="78" t="s">
        <v>142</v>
      </c>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300-000000000000}"/>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ENT_31_14</v>
      </c>
      <c r="E6" s="239"/>
      <c r="F6" s="239"/>
      <c r="G6" s="239"/>
      <c r="H6" s="239"/>
      <c r="I6" s="239"/>
      <c r="J6" s="240"/>
    </row>
    <row r="7" spans="1:45">
      <c r="B7" s="228" t="s">
        <v>115</v>
      </c>
      <c r="C7" s="229"/>
      <c r="D7" s="230" t="s">
        <v>313</v>
      </c>
      <c r="E7" s="231"/>
      <c r="F7" s="231"/>
      <c r="G7" s="231"/>
      <c r="H7" s="231"/>
      <c r="I7" s="231"/>
      <c r="J7" s="232"/>
    </row>
    <row r="8" spans="1:45">
      <c r="B8" s="228" t="s">
        <v>116</v>
      </c>
      <c r="C8" s="229"/>
      <c r="D8" s="230" t="str">
        <f>エンティティ一覧!AE2&amp;"_"&amp;D5&amp;"_merge_dpc_ff1_a006040"</f>
        <v>azn_202310_base_merge_dpc_ff1_a006040</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milscm_2023_010.azn_202310_base_merge_dpc_ff1_a006040;</v>
      </c>
      <c r="O10" s="78"/>
      <c r="P10" s="78"/>
      <c r="Q10" s="78"/>
      <c r="R10" s="78"/>
      <c r="S10" s="78"/>
      <c r="T10" s="78"/>
      <c r="AJ10" s="78" t="str">
        <f>"ALTER TABLE ONLY "&amp;エンティティ一覧!$O$2&amp;"."&amp;D$8</f>
        <v>ALTER TABLE ONLY milscm_2023_010.azn_202310_base_merge_dpc_ff1_a006040</v>
      </c>
      <c r="AS10" s="78" t="str">
        <f>"ALTER TABLE "&amp;エンティティ一覧!$O$2&amp;"."&amp;D$8&amp;" OWNER TO pgmisgrp1;"</f>
        <v>ALTER TABLE milscm_2023_010.azn_202310_base_merge_dpc_ff1_a006040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milscm_2023_010.azn_202310_base_merge_dpc_ff1_a006040</v>
      </c>
      <c r="O11" s="78"/>
      <c r="P11" s="78"/>
      <c r="Q11" s="78"/>
      <c r="R11" s="78"/>
      <c r="S11" s="78"/>
      <c r="T11" s="78"/>
      <c r="AJ11" s="78" t="str">
        <f>"ADD CONSTRAINT "&amp;D$8&amp;"_pkey PRIMARY KEY"</f>
        <v>ADD CONSTRAINT azn_202310_base_merge_dpc_ff1_a006040_pkey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milscm_2023_010.azn_202310_base_merge_dpc_ff1_a006040 IS 'ベース_DPC調査データ_様式1_診断情報_併存症';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milscm_2023_010.azn_202310_base_merge_dpc_ff1_a006040.torikomi_ym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milscm_2023_010.azn_202310_base_merge_dpc_ff1_a006040.mil_karute_id IS '千年カルテID';</v>
      </c>
    </row>
    <row r="15" spans="1:45" s="25" customFormat="1" ht="37.5">
      <c r="A15" s="4"/>
      <c r="B15" s="21">
        <f t="shared" si="2"/>
        <v>3</v>
      </c>
      <c r="C15" s="13" t="s">
        <v>137</v>
      </c>
      <c r="D15" s="13" t="s">
        <v>128</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milscm_2023_010.azn_202310_base_merge_dpc_ff1_a006040.facility_id IS '施設ID';</v>
      </c>
    </row>
    <row r="16" spans="1:45" s="25" customFormat="1" ht="93.75">
      <c r="B16" s="21">
        <f t="shared" si="2"/>
        <v>4</v>
      </c>
      <c r="C16" s="6" t="s">
        <v>869</v>
      </c>
      <c r="D16" s="6" t="s">
        <v>207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milscm_2023_010.azn_202310_base_merge_dpc_ff1_a006040.shinryo_ym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milscm_2023_010.azn_202310_base_merge_dpc_ff1_a006040.data_type IS 'データ種別';</v>
      </c>
    </row>
    <row r="18" spans="1:52" s="25" customFormat="1">
      <c r="B18" s="21">
        <f t="shared" si="2"/>
        <v>6</v>
      </c>
      <c r="C18" s="6" t="s">
        <v>870</v>
      </c>
      <c r="D18" s="6" t="s">
        <v>211</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milscm_2023_010.azn_202310_base_merge_dpc_ff1_a006040.shikibetsu_no IS 'データ識別番号';</v>
      </c>
    </row>
    <row r="19" spans="1:52" s="25" customFormat="1">
      <c r="B19" s="21">
        <f t="shared" si="2"/>
        <v>7</v>
      </c>
      <c r="C19" s="13" t="s">
        <v>871</v>
      </c>
      <c r="D19" s="13" t="s">
        <v>156</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milscm_2023_010.azn_202310_base_merge_dpc_ff1_a006040.nyuin_ymd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milscm_2023_010.azn_202310_base_merge_dpc_ff1_a006040.times_no IS '回数管理番号';</v>
      </c>
    </row>
    <row r="21" spans="1:52" s="25" customFormat="1">
      <c r="A21" s="4"/>
      <c r="B21" s="21">
        <f t="shared" si="2"/>
        <v>9</v>
      </c>
      <c r="C21" s="13" t="s">
        <v>568</v>
      </c>
      <c r="D21" s="13" t="s">
        <v>569</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milscm_2023_010.azn_202310_base_merge_dpc_ff1_a006040.sokatsu_shinryo_no IS '統括診療情報番号';</v>
      </c>
    </row>
    <row r="22" spans="1:52" s="25" customFormat="1">
      <c r="A22" s="4"/>
      <c r="B22" s="21">
        <f t="shared" si="2"/>
        <v>10</v>
      </c>
      <c r="C22" s="6" t="s">
        <v>359</v>
      </c>
      <c r="D22" s="6" t="s">
        <v>360</v>
      </c>
      <c r="E22" s="8" t="s">
        <v>127</v>
      </c>
      <c r="F22" s="7" t="s">
        <v>868</v>
      </c>
      <c r="G22" s="7" t="str">
        <f t="shared" si="3"/>
        <v>text</v>
      </c>
      <c r="H22" s="26" t="s">
        <v>882</v>
      </c>
      <c r="I22" s="10" t="s">
        <v>127</v>
      </c>
      <c r="J22" s="11" t="s">
        <v>883</v>
      </c>
      <c r="N22" s="78"/>
      <c r="O22" s="78"/>
      <c r="P22" s="78" t="str">
        <f t="shared" si="4"/>
        <v>,code</v>
      </c>
      <c r="Q22" s="78" t="str">
        <f t="shared" si="0"/>
        <v>TEXT</v>
      </c>
      <c r="R22" s="78" t="str">
        <f t="shared" si="1"/>
        <v>default 'A006040'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milscm_2023_010.azn_202310_base_merge_dpc_ff1_a006040.code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milscm_2023_010.azn_202310_base_merge_dpc_ff1_a006040.version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milscm_2023_010.azn_202310_base_merge_dpc_ff1_a006040.number IS '連番';</v>
      </c>
    </row>
    <row r="25" spans="1:52" s="25" customFormat="1">
      <c r="A25" s="4"/>
      <c r="B25" s="21">
        <f t="shared" si="2"/>
        <v>13</v>
      </c>
      <c r="C25" s="13" t="s">
        <v>666</v>
      </c>
      <c r="D25" s="13" t="s">
        <v>874</v>
      </c>
      <c r="E25" s="7"/>
      <c r="F25" s="7" t="s">
        <v>868</v>
      </c>
      <c r="G25" s="7" t="str">
        <f t="shared" si="3"/>
        <v>text</v>
      </c>
      <c r="H25" s="58"/>
      <c r="I25" s="23"/>
      <c r="J25" s="24" t="s">
        <v>884</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milscm_2023_010.azn_202310_base_merge_dpc_ff1_a006040.icd10_code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milscm_2023_010.azn_202310_base_merge_dpc_ff1_a006040.shobyo_code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milscm_2023_010.azn_202310_base_merge_dpc_ff1_a006040.shushoku_code1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milscm_2023_010.azn_202310_base_merge_dpc_ff1_a006040.shushoku_code2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milscm_2023_010.azn_202310_base_merge_dpc_ff1_a006040.shushoku_code3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milscm_2023_010.azn_202310_base_merge_dpc_ff1_a006040.shushoku_code4 IS '修飾語コード4';</v>
      </c>
    </row>
    <row r="31" spans="1:52" s="25" customFormat="1" ht="19.5" thickBot="1">
      <c r="A31" s="4"/>
      <c r="B31" s="27">
        <f>ROW()-12</f>
        <v>19</v>
      </c>
      <c r="C31" s="57" t="s">
        <v>880</v>
      </c>
      <c r="D31" s="57" t="s">
        <v>881</v>
      </c>
      <c r="E31" s="56"/>
      <c r="F31" s="56" t="s">
        <v>868</v>
      </c>
      <c r="G31" s="56" t="str">
        <f t="shared" si="3"/>
        <v>text</v>
      </c>
      <c r="H31" s="59"/>
      <c r="I31" s="60"/>
      <c r="J31" s="64" t="s">
        <v>885</v>
      </c>
      <c r="N31" s="78"/>
      <c r="O31" s="78"/>
      <c r="P31" s="78" t="str">
        <f t="shared" ref="P31" si="7">IF(B31&lt;&gt;1,","&amp;D31,D31)</f>
        <v>,nyuin_heizonsho_name</v>
      </c>
      <c r="Q31" s="78" t="str">
        <f t="shared" ref="Q31" si="8">UPPER(G31)</f>
        <v>TEXT</v>
      </c>
      <c r="R31" s="78" t="str">
        <f t="shared" ref="R31" si="9">IF(H31&lt;&gt;"","default "&amp;IF(G31="text","'"&amp;H31&amp;"'",H31),"")</f>
        <v/>
      </c>
      <c r="S31" s="78" t="str">
        <f t="shared" ref="S31" si="10">IF(I31="○","NOT NULL","")</f>
        <v/>
      </c>
      <c r="T31" s="78" t="str">
        <f t="shared" ref="T31" si="11">"-- "&amp;C31</f>
        <v>-- 入院時併存症名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milscm_2023_010.azn_202310_base_merge_dpc_ff1_a006040.nyuin_heizonsho_name IS '入院時併存症名';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400-000000000000}"/>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AZ5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ENT_31_15</v>
      </c>
      <c r="E6" s="239"/>
      <c r="F6" s="239"/>
      <c r="G6" s="239"/>
      <c r="H6" s="239"/>
      <c r="I6" s="239"/>
      <c r="J6" s="240"/>
    </row>
    <row r="7" spans="1:45">
      <c r="B7" s="228" t="s">
        <v>115</v>
      </c>
      <c r="C7" s="229"/>
      <c r="D7" s="230" t="s">
        <v>314</v>
      </c>
      <c r="E7" s="231"/>
      <c r="F7" s="231"/>
      <c r="G7" s="231"/>
      <c r="H7" s="231"/>
      <c r="I7" s="231"/>
      <c r="J7" s="232"/>
    </row>
    <row r="8" spans="1:45">
      <c r="B8" s="228" t="s">
        <v>116</v>
      </c>
      <c r="C8" s="229"/>
      <c r="D8" s="230" t="str">
        <f>エンティティ一覧!AE2&amp;"_"&amp;D5&amp;"_merge_dpc_ff1_a006050"</f>
        <v>azn_202310_base_merge_dpc_ff1_a006050</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milscm_2023_010.azn_202310_base_merge_dpc_ff1_a006050;</v>
      </c>
      <c r="O10" s="78"/>
      <c r="P10" s="78"/>
      <c r="Q10" s="78"/>
      <c r="R10" s="78"/>
      <c r="S10" s="78"/>
      <c r="T10" s="78"/>
      <c r="AJ10" s="78" t="str">
        <f>"ALTER TABLE ONLY "&amp;エンティティ一覧!$O$2&amp;"."&amp;D$8</f>
        <v>ALTER TABLE ONLY milscm_2023_010.azn_202310_base_merge_dpc_ff1_a006050</v>
      </c>
      <c r="AS10" s="78" t="str">
        <f>"ALTER TABLE "&amp;エンティティ一覧!$O$2&amp;"."&amp;D$8&amp;" OWNER TO pgmisgrp1;"</f>
        <v>ALTER TABLE milscm_2023_010.azn_202310_base_merge_dpc_ff1_a006050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milscm_2023_010.azn_202310_base_merge_dpc_ff1_a006050</v>
      </c>
      <c r="O11" s="78"/>
      <c r="P11" s="78"/>
      <c r="Q11" s="78"/>
      <c r="R11" s="78"/>
      <c r="S11" s="78"/>
      <c r="T11" s="78"/>
      <c r="AJ11" s="78" t="str">
        <f>"ADD CONSTRAINT "&amp;D$8&amp;"_pkey PRIMARY KEY"</f>
        <v>ADD CONSTRAINT azn_202310_base_merge_dpc_ff1_a006050_pkey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milscm_2023_010.azn_202310_base_merge_dpc_ff1_a006050 IS 'ベース_DPC調査データ_様式1_診断情報_続発症';</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0" si="0">UPPER(G13)</f>
        <v>TEXT</v>
      </c>
      <c r="R13" s="78" t="str">
        <f t="shared" ref="R13:R3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milscm_2023_010.azn_202310_base_merge_dpc_ff1_a006050.torikomi_ym IS '取込年月';</v>
      </c>
    </row>
    <row r="14" spans="1:45" s="25" customFormat="1">
      <c r="A14" s="4"/>
      <c r="B14" s="21">
        <f t="shared" ref="B14:B30" si="2">ROW()-12</f>
        <v>2</v>
      </c>
      <c r="C14" s="6" t="s">
        <v>203</v>
      </c>
      <c r="D14" s="6" t="s">
        <v>204</v>
      </c>
      <c r="E14" s="8"/>
      <c r="F14" s="7" t="s">
        <v>205</v>
      </c>
      <c r="G14" s="7" t="str">
        <f t="shared" ref="G14:G31" si="3">IF(F14="フラグ","boolean",IF(F14="文字列","text",IF(F14="整数","integer",IF(F14="実数","numeric",""))))</f>
        <v>integer</v>
      </c>
      <c r="H14" s="26"/>
      <c r="I14" s="10"/>
      <c r="J14" s="11" t="s">
        <v>258</v>
      </c>
      <c r="M14" s="4"/>
      <c r="N14" s="78"/>
      <c r="O14" s="78"/>
      <c r="P14" s="78" t="str">
        <f t="shared" ref="P14:P3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milscm_2023_010.azn_202310_base_merge_dpc_ff1_a006050.mil_karute_id IS '千年カルテID';</v>
      </c>
    </row>
    <row r="15" spans="1:45" s="25" customFormat="1" ht="37.5">
      <c r="A15" s="4"/>
      <c r="B15" s="21">
        <f t="shared" si="2"/>
        <v>3</v>
      </c>
      <c r="C15" s="13" t="s">
        <v>137</v>
      </c>
      <c r="D15" s="13" t="s">
        <v>886</v>
      </c>
      <c r="E15" s="7" t="s">
        <v>127</v>
      </c>
      <c r="F15" s="7" t="s">
        <v>868</v>
      </c>
      <c r="G15" s="7" t="str">
        <f t="shared" si="3"/>
        <v>text</v>
      </c>
      <c r="H15" s="58"/>
      <c r="I15" s="23" t="s">
        <v>127</v>
      </c>
      <c r="J15" s="24" t="s">
        <v>810</v>
      </c>
      <c r="M15" s="4"/>
      <c r="N15" s="78"/>
      <c r="O15" s="78"/>
      <c r="P15" s="78" t="str">
        <f t="shared" si="4"/>
        <v>,facility_id</v>
      </c>
      <c r="Q15" s="78" t="str">
        <f t="shared" si="0"/>
        <v>TEXT</v>
      </c>
      <c r="R15" s="78" t="str">
        <f t="shared" si="1"/>
        <v/>
      </c>
      <c r="S15" s="78" t="str">
        <f>IF(I15="○","NOT NULL","")</f>
        <v>NOT NULL</v>
      </c>
      <c r="T15" s="78" t="str">
        <f>"--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milscm_2023_010.azn_202310_base_merge_dpc_ff1_a006050.facility_id IS '施設ID';</v>
      </c>
    </row>
    <row r="16" spans="1:45" s="25" customFormat="1" ht="93.75">
      <c r="B16" s="21">
        <f t="shared" si="2"/>
        <v>4</v>
      </c>
      <c r="C16" s="6" t="s">
        <v>869</v>
      </c>
      <c r="D16" s="6" t="s">
        <v>887</v>
      </c>
      <c r="E16" s="8" t="s">
        <v>127</v>
      </c>
      <c r="F16" s="7" t="s">
        <v>868</v>
      </c>
      <c r="G16" s="7" t="str">
        <f t="shared" si="3"/>
        <v>text</v>
      </c>
      <c r="H16" s="26"/>
      <c r="I16" s="10" t="s">
        <v>127</v>
      </c>
      <c r="J16" s="53" t="s">
        <v>932</v>
      </c>
      <c r="M16" s="4"/>
      <c r="N16" s="78"/>
      <c r="O16" s="78"/>
      <c r="P16" s="78" t="str">
        <f t="shared" si="4"/>
        <v>,shinryo_ym</v>
      </c>
      <c r="Q16" s="78" t="str">
        <f t="shared" si="0"/>
        <v>TEXT</v>
      </c>
      <c r="R16" s="78" t="str">
        <f t="shared" si="1"/>
        <v/>
      </c>
      <c r="S16" s="78" t="str">
        <f t="shared" ref="S16:S30" si="5">IF(I16="○","NOT NULL","")</f>
        <v>NOT NULL</v>
      </c>
      <c r="T16" s="78" t="str">
        <f t="shared" ref="T16:T30" si="6">"-- "&amp;C16</f>
        <v>-- 診療年月</v>
      </c>
      <c r="U16" s="4"/>
      <c r="AA16" s="4"/>
      <c r="AB16" s="4"/>
      <c r="AC16" s="4"/>
      <c r="AD16" s="4"/>
      <c r="AE16" s="4"/>
      <c r="AF16" s="4"/>
      <c r="AG16" s="4"/>
      <c r="AH16" s="4"/>
      <c r="AI16" s="4"/>
      <c r="AJ16" s="78" t="str">
        <f>IF(E16="○",IF(COUNTA(E$13:E16)=1,"",",")&amp;D16,"")</f>
        <v>,shinryo_ym</v>
      </c>
      <c r="AK16" s="4"/>
      <c r="AL16" s="4"/>
      <c r="AM16" s="4"/>
      <c r="AN16" s="4"/>
      <c r="AO16" s="4"/>
      <c r="AP16" s="4"/>
      <c r="AQ16" s="4"/>
      <c r="AR16" s="4"/>
      <c r="AS16" s="78" t="str">
        <f>"COMMENT ON COLUMN "&amp;エンティティ一覧!$O$2&amp;"."&amp;D$8&amp;"."&amp;D16&amp;" IS '"&amp;C16&amp;"';"</f>
        <v>COMMENT ON COLUMN milscm_2023_010.azn_202310_base_merge_dpc_ff1_a006050.shinryo_ym IS '診療年月';</v>
      </c>
    </row>
    <row r="17" spans="1:52" s="25" customFormat="1">
      <c r="B17" s="21">
        <f t="shared" si="2"/>
        <v>5</v>
      </c>
      <c r="C17" s="13" t="s">
        <v>320</v>
      </c>
      <c r="D17" s="13" t="s">
        <v>209</v>
      </c>
      <c r="E17" s="7"/>
      <c r="F17" s="7" t="s">
        <v>868</v>
      </c>
      <c r="G17" s="7" t="str">
        <f t="shared" si="3"/>
        <v>text</v>
      </c>
      <c r="H17" s="58" t="s">
        <v>260</v>
      </c>
      <c r="I17" s="23" t="s">
        <v>127</v>
      </c>
      <c r="J17" s="24" t="s">
        <v>811</v>
      </c>
      <c r="N17" s="78"/>
      <c r="O17" s="78"/>
      <c r="P17" s="78" t="str">
        <f t="shared" si="4"/>
        <v>,data_type</v>
      </c>
      <c r="Q17" s="78" t="str">
        <f t="shared" si="0"/>
        <v>TEXT</v>
      </c>
      <c r="R17" s="78" t="str">
        <f t="shared" si="1"/>
        <v>default 'DPC'</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milscm_2023_010.azn_202310_base_merge_dpc_ff1_a006050.data_type IS 'データ種別';</v>
      </c>
    </row>
    <row r="18" spans="1:52" s="25" customFormat="1">
      <c r="B18" s="21">
        <f t="shared" si="2"/>
        <v>6</v>
      </c>
      <c r="C18" s="6" t="s">
        <v>870</v>
      </c>
      <c r="D18" s="6" t="s">
        <v>888</v>
      </c>
      <c r="E18" s="8" t="s">
        <v>127</v>
      </c>
      <c r="F18" s="7" t="s">
        <v>868</v>
      </c>
      <c r="G18" s="7" t="str">
        <f t="shared" si="3"/>
        <v>text</v>
      </c>
      <c r="H18" s="26"/>
      <c r="I18" s="10" t="s">
        <v>127</v>
      </c>
      <c r="J18" s="11"/>
      <c r="N18" s="78"/>
      <c r="O18" s="78"/>
      <c r="P18" s="78" t="str">
        <f t="shared" si="4"/>
        <v>,shikibetsu_no</v>
      </c>
      <c r="Q18" s="78" t="str">
        <f t="shared" si="0"/>
        <v>TEXT</v>
      </c>
      <c r="R18" s="78" t="str">
        <f t="shared" si="1"/>
        <v/>
      </c>
      <c r="S18" s="78" t="str">
        <f t="shared" si="5"/>
        <v>NOT NULL</v>
      </c>
      <c r="T18" s="78" t="str">
        <f t="shared" si="6"/>
        <v>-- データ識別番号</v>
      </c>
      <c r="U18" s="4"/>
      <c r="AA18" s="4"/>
      <c r="AB18" s="4"/>
      <c r="AC18" s="4"/>
      <c r="AD18" s="4"/>
      <c r="AE18" s="4"/>
      <c r="AF18" s="4"/>
      <c r="AG18" s="4"/>
      <c r="AH18" s="4"/>
      <c r="AI18" s="4"/>
      <c r="AJ18" s="78" t="str">
        <f>IF(E18="○",IF(COUNTA(E$13:E18)=1,"",",")&amp;D18,"")</f>
        <v>,shikibetsu_no</v>
      </c>
      <c r="AK18" s="4"/>
      <c r="AL18" s="4"/>
      <c r="AM18" s="4"/>
      <c r="AN18" s="4"/>
      <c r="AO18" s="4"/>
      <c r="AP18" s="4"/>
      <c r="AQ18" s="4"/>
      <c r="AR18" s="4"/>
      <c r="AS18" s="78" t="str">
        <f>"COMMENT ON COLUMN "&amp;エンティティ一覧!$O$2&amp;"."&amp;D$8&amp;"."&amp;D18&amp;" IS '"&amp;C18&amp;"';"</f>
        <v>COMMENT ON COLUMN milscm_2023_010.azn_202310_base_merge_dpc_ff1_a006050.shikibetsu_no IS 'データ識別番号';</v>
      </c>
    </row>
    <row r="19" spans="1:52" s="25" customFormat="1">
      <c r="B19" s="21">
        <f t="shared" si="2"/>
        <v>7</v>
      </c>
      <c r="C19" s="13" t="s">
        <v>871</v>
      </c>
      <c r="D19" s="13" t="s">
        <v>889</v>
      </c>
      <c r="E19" s="7" t="s">
        <v>127</v>
      </c>
      <c r="F19" s="7" t="s">
        <v>868</v>
      </c>
      <c r="G19" s="7" t="str">
        <f t="shared" si="3"/>
        <v>text</v>
      </c>
      <c r="H19" s="58"/>
      <c r="I19" s="23" t="s">
        <v>127</v>
      </c>
      <c r="J19" s="24" t="s">
        <v>144</v>
      </c>
      <c r="N19" s="78"/>
      <c r="O19" s="78"/>
      <c r="P19" s="78" t="str">
        <f t="shared" si="4"/>
        <v>,nyuin_ymd</v>
      </c>
      <c r="Q19" s="78" t="str">
        <f t="shared" si="0"/>
        <v>TEXT</v>
      </c>
      <c r="R19" s="78" t="str">
        <f t="shared" si="1"/>
        <v/>
      </c>
      <c r="S19" s="78" t="str">
        <f t="shared" si="5"/>
        <v>NOT NULL</v>
      </c>
      <c r="T19" s="78" t="str">
        <f t="shared" si="6"/>
        <v>-- 入院年月日</v>
      </c>
      <c r="U19" s="4"/>
      <c r="AA19" s="4"/>
      <c r="AB19" s="4"/>
      <c r="AC19" s="4"/>
      <c r="AD19" s="4"/>
      <c r="AE19" s="4"/>
      <c r="AF19" s="4"/>
      <c r="AG19" s="4"/>
      <c r="AH19" s="4"/>
      <c r="AI19" s="4"/>
      <c r="AJ19" s="78" t="str">
        <f>IF(E19="○",IF(COUNTA(E$13:E19)=1,"",",")&amp;D19,"")</f>
        <v>,nyuin_ymd</v>
      </c>
      <c r="AK19" s="4"/>
      <c r="AL19" s="4"/>
      <c r="AM19" s="4"/>
      <c r="AN19" s="4"/>
      <c r="AO19" s="4"/>
      <c r="AP19" s="4"/>
      <c r="AQ19" s="4"/>
      <c r="AR19" s="4"/>
      <c r="AS19" s="78" t="str">
        <f>"COMMENT ON COLUMN "&amp;エンティティ一覧!$O$2&amp;"."&amp;D$8&amp;"."&amp;D19&amp;" IS '"&amp;C19&amp;"';"</f>
        <v>COMMENT ON COLUMN milscm_2023_010.azn_202310_base_merge_dpc_ff1_a006050.nyuin_ymd IS '入院年月日';</v>
      </c>
    </row>
    <row r="20" spans="1:52" s="25" customFormat="1">
      <c r="B20" s="21">
        <f t="shared" si="2"/>
        <v>8</v>
      </c>
      <c r="C20" s="6" t="s">
        <v>872</v>
      </c>
      <c r="D20" s="6" t="s">
        <v>567</v>
      </c>
      <c r="E20" s="8" t="s">
        <v>127</v>
      </c>
      <c r="F20" s="7" t="s">
        <v>868</v>
      </c>
      <c r="G20" s="7" t="str">
        <f t="shared" si="3"/>
        <v>text</v>
      </c>
      <c r="H20" s="26"/>
      <c r="I20" s="10" t="s">
        <v>127</v>
      </c>
      <c r="J20" s="11"/>
      <c r="N20" s="78"/>
      <c r="O20" s="78"/>
      <c r="P20" s="78" t="str">
        <f t="shared" si="4"/>
        <v>,times_no</v>
      </c>
      <c r="Q20" s="78" t="str">
        <f t="shared" si="0"/>
        <v>TEXT</v>
      </c>
      <c r="R20" s="78" t="str">
        <f t="shared" si="1"/>
        <v/>
      </c>
      <c r="S20" s="78" t="str">
        <f t="shared" si="5"/>
        <v>NOT NULL</v>
      </c>
      <c r="T20" s="78" t="str">
        <f t="shared" si="6"/>
        <v>-- 回数管理番号</v>
      </c>
      <c r="U20" s="4"/>
      <c r="AA20" s="4"/>
      <c r="AB20" s="4"/>
      <c r="AC20" s="4"/>
      <c r="AD20" s="4"/>
      <c r="AE20" s="4"/>
      <c r="AF20" s="4"/>
      <c r="AG20" s="4"/>
      <c r="AH20" s="4"/>
      <c r="AI20" s="4"/>
      <c r="AJ20" s="78" t="str">
        <f>IF(E20="○",IF(COUNTA(E$13:E20)=1,"",",")&amp;D20,"")</f>
        <v>,times_no</v>
      </c>
      <c r="AK20" s="4"/>
      <c r="AL20" s="4"/>
      <c r="AM20" s="4"/>
      <c r="AN20" s="4"/>
      <c r="AO20" s="4"/>
      <c r="AP20" s="4"/>
      <c r="AQ20" s="4"/>
      <c r="AR20" s="4"/>
      <c r="AS20" s="78" t="str">
        <f>"COMMENT ON COLUMN "&amp;エンティティ一覧!$O$2&amp;"."&amp;D$8&amp;"."&amp;D20&amp;" IS '"&amp;C20&amp;"';"</f>
        <v>COMMENT ON COLUMN milscm_2023_010.azn_202310_base_merge_dpc_ff1_a006050.times_no IS '回数管理番号';</v>
      </c>
    </row>
    <row r="21" spans="1:52" s="25" customFormat="1">
      <c r="A21" s="4"/>
      <c r="B21" s="21">
        <f t="shared" si="2"/>
        <v>9</v>
      </c>
      <c r="C21" s="13" t="s">
        <v>568</v>
      </c>
      <c r="D21" s="13" t="s">
        <v>890</v>
      </c>
      <c r="E21" s="7" t="s">
        <v>127</v>
      </c>
      <c r="F21" s="7" t="s">
        <v>868</v>
      </c>
      <c r="G21" s="7" t="str">
        <f t="shared" si="3"/>
        <v>text</v>
      </c>
      <c r="H21" s="58"/>
      <c r="I21" s="23" t="s">
        <v>127</v>
      </c>
      <c r="J21" s="24"/>
      <c r="N21" s="78"/>
      <c r="O21" s="78"/>
      <c r="P21" s="78" t="str">
        <f t="shared" si="4"/>
        <v>,sokatsu_shinryo_no</v>
      </c>
      <c r="Q21" s="78" t="str">
        <f t="shared" si="0"/>
        <v>TEXT</v>
      </c>
      <c r="R21" s="78" t="str">
        <f t="shared" si="1"/>
        <v/>
      </c>
      <c r="S21" s="78" t="str">
        <f t="shared" si="5"/>
        <v>NOT NULL</v>
      </c>
      <c r="T21" s="78" t="str">
        <f t="shared" si="6"/>
        <v>-- 統括診療情報番号</v>
      </c>
      <c r="U21" s="4"/>
      <c r="AA21" s="4"/>
      <c r="AB21" s="4"/>
      <c r="AC21" s="4"/>
      <c r="AD21" s="4"/>
      <c r="AE21" s="4"/>
      <c r="AF21" s="4"/>
      <c r="AG21" s="4"/>
      <c r="AH21" s="4"/>
      <c r="AI21" s="4"/>
      <c r="AJ21" s="78" t="str">
        <f>IF(E21="○",IF(COUNTA(E$13:E21)=1,"",",")&amp;D21,"")</f>
        <v>,sokatsu_shinryo_no</v>
      </c>
      <c r="AK21" s="4"/>
      <c r="AL21" s="4"/>
      <c r="AM21" s="4"/>
      <c r="AN21" s="4"/>
      <c r="AO21" s="4"/>
      <c r="AP21" s="4"/>
      <c r="AQ21" s="4"/>
      <c r="AR21" s="4"/>
      <c r="AS21" s="78" t="str">
        <f>"COMMENT ON COLUMN "&amp;エンティティ一覧!$O$2&amp;"."&amp;D$8&amp;"."&amp;D21&amp;" IS '"&amp;C21&amp;"';"</f>
        <v>COMMENT ON COLUMN milscm_2023_010.azn_202310_base_merge_dpc_ff1_a006050.sokatsu_shinryo_no IS '統括診療情報番号';</v>
      </c>
    </row>
    <row r="22" spans="1:52" s="25" customFormat="1">
      <c r="A22" s="4"/>
      <c r="B22" s="21">
        <f t="shared" si="2"/>
        <v>10</v>
      </c>
      <c r="C22" s="6" t="s">
        <v>359</v>
      </c>
      <c r="D22" s="6" t="s">
        <v>360</v>
      </c>
      <c r="E22" s="8" t="s">
        <v>127</v>
      </c>
      <c r="F22" s="7" t="s">
        <v>868</v>
      </c>
      <c r="G22" s="7" t="str">
        <f t="shared" si="3"/>
        <v>text</v>
      </c>
      <c r="H22" s="26" t="s">
        <v>893</v>
      </c>
      <c r="I22" s="10" t="s">
        <v>127</v>
      </c>
      <c r="J22" s="11" t="s">
        <v>894</v>
      </c>
      <c r="N22" s="78"/>
      <c r="O22" s="78"/>
      <c r="P22" s="78" t="str">
        <f t="shared" si="4"/>
        <v>,code</v>
      </c>
      <c r="Q22" s="78" t="str">
        <f t="shared" si="0"/>
        <v>TEXT</v>
      </c>
      <c r="R22" s="78" t="str">
        <f t="shared" si="1"/>
        <v>default 'A006050'</v>
      </c>
      <c r="S22" s="78" t="str">
        <f t="shared" si="5"/>
        <v>NOT NULL</v>
      </c>
      <c r="T22" s="78" t="str">
        <f t="shared" si="6"/>
        <v>-- コード</v>
      </c>
      <c r="U22" s="4"/>
      <c r="AA22" s="4"/>
      <c r="AB22" s="4"/>
      <c r="AC22" s="4"/>
      <c r="AD22" s="4"/>
      <c r="AE22" s="4"/>
      <c r="AF22" s="4"/>
      <c r="AG22" s="4"/>
      <c r="AH22" s="4"/>
      <c r="AI22" s="4"/>
      <c r="AJ22" s="78" t="str">
        <f>IF(E22="○",IF(COUNTA(E$13:E22)=1,"",",")&amp;D22,"")</f>
        <v>,code</v>
      </c>
      <c r="AK22" s="4"/>
      <c r="AL22" s="4"/>
      <c r="AM22" s="4"/>
      <c r="AN22" s="4"/>
      <c r="AO22" s="4"/>
      <c r="AP22" s="4"/>
      <c r="AQ22" s="4"/>
      <c r="AR22" s="4"/>
      <c r="AS22" s="78" t="str">
        <f>"COMMENT ON COLUMN "&amp;エンティティ一覧!$O$2&amp;"."&amp;D$8&amp;"."&amp;D22&amp;" IS '"&amp;C22&amp;"';"</f>
        <v>COMMENT ON COLUMN milscm_2023_010.azn_202310_base_merge_dpc_ff1_a006050.code IS 'コード';</v>
      </c>
    </row>
    <row r="23" spans="1:52" s="25" customFormat="1">
      <c r="A23" s="4"/>
      <c r="B23" s="21">
        <f t="shared" si="2"/>
        <v>11</v>
      </c>
      <c r="C23" s="13" t="s">
        <v>361</v>
      </c>
      <c r="D23" s="13" t="s">
        <v>362</v>
      </c>
      <c r="E23" s="7" t="s">
        <v>127</v>
      </c>
      <c r="F23" s="7" t="s">
        <v>868</v>
      </c>
      <c r="G23" s="7" t="str">
        <f t="shared" si="3"/>
        <v>text</v>
      </c>
      <c r="H23" s="58">
        <v>20140401</v>
      </c>
      <c r="I23" s="23" t="s">
        <v>127</v>
      </c>
      <c r="J23" s="24" t="s">
        <v>814</v>
      </c>
      <c r="N23" s="78"/>
      <c r="O23" s="78"/>
      <c r="P23" s="78" t="str">
        <f t="shared" si="4"/>
        <v>,version</v>
      </c>
      <c r="Q23" s="78" t="str">
        <f t="shared" si="0"/>
        <v>TEXT</v>
      </c>
      <c r="R23" s="78" t="str">
        <f t="shared" si="1"/>
        <v>default '20140401'</v>
      </c>
      <c r="S23" s="78" t="str">
        <f t="shared" si="5"/>
        <v>NOT NULL</v>
      </c>
      <c r="T23" s="78" t="str">
        <f t="shared" si="6"/>
        <v>-- バージョン</v>
      </c>
      <c r="U23" s="4"/>
      <c r="AA23" s="4"/>
      <c r="AB23" s="4"/>
      <c r="AC23" s="4"/>
      <c r="AD23" s="4"/>
      <c r="AE23" s="4"/>
      <c r="AF23" s="4"/>
      <c r="AG23" s="4"/>
      <c r="AH23" s="4"/>
      <c r="AI23" s="4"/>
      <c r="AJ23" s="78" t="str">
        <f>IF(E23="○",IF(COUNTA(E$13:E23)=1,"",",")&amp;D23,"")</f>
        <v>,version</v>
      </c>
      <c r="AK23" s="4"/>
      <c r="AL23" s="4"/>
      <c r="AM23" s="4"/>
      <c r="AN23" s="4"/>
      <c r="AO23" s="4"/>
      <c r="AP23" s="4"/>
      <c r="AQ23" s="4"/>
      <c r="AR23" s="4"/>
      <c r="AS23" s="78" t="str">
        <f>"COMMENT ON COLUMN "&amp;エンティティ一覧!$O$2&amp;"."&amp;D$8&amp;"."&amp;D23&amp;" IS '"&amp;C23&amp;"';"</f>
        <v>COMMENT ON COLUMN milscm_2023_010.azn_202310_base_merge_dpc_ff1_a006050.version IS 'バージョン';</v>
      </c>
    </row>
    <row r="24" spans="1:52" s="25" customFormat="1">
      <c r="A24" s="4"/>
      <c r="B24" s="21">
        <f t="shared" si="2"/>
        <v>12</v>
      </c>
      <c r="C24" s="6" t="s">
        <v>873</v>
      </c>
      <c r="D24" s="6" t="s">
        <v>364</v>
      </c>
      <c r="E24" s="8" t="s">
        <v>127</v>
      </c>
      <c r="F24" s="7" t="s">
        <v>868</v>
      </c>
      <c r="G24" s="7" t="str">
        <f t="shared" si="3"/>
        <v>text</v>
      </c>
      <c r="H24" s="26"/>
      <c r="I24" s="10" t="s">
        <v>127</v>
      </c>
      <c r="J24" s="11"/>
      <c r="N24" s="78"/>
      <c r="O24" s="78"/>
      <c r="P24" s="78" t="str">
        <f t="shared" si="4"/>
        <v>,number</v>
      </c>
      <c r="Q24" s="78" t="str">
        <f t="shared" si="0"/>
        <v>TEXT</v>
      </c>
      <c r="R24" s="78" t="str">
        <f t="shared" si="1"/>
        <v/>
      </c>
      <c r="S24" s="78" t="str">
        <f t="shared" si="5"/>
        <v>NOT NULL</v>
      </c>
      <c r="T24" s="78" t="str">
        <f t="shared" si="6"/>
        <v>-- 連番</v>
      </c>
      <c r="U24" s="4"/>
      <c r="AA24" s="4"/>
      <c r="AB24" s="4"/>
      <c r="AC24" s="4"/>
      <c r="AD24" s="4"/>
      <c r="AE24" s="4"/>
      <c r="AF24" s="4"/>
      <c r="AG24" s="4"/>
      <c r="AH24" s="4"/>
      <c r="AI24" s="4"/>
      <c r="AJ24" s="78" t="str">
        <f>IF(E24="○",IF(COUNTA(E$13:E24)=1,"",",")&amp;D24,"")</f>
        <v>,number</v>
      </c>
      <c r="AK24" s="4"/>
      <c r="AL24" s="4"/>
      <c r="AM24" s="4"/>
      <c r="AN24" s="4"/>
      <c r="AO24" s="4"/>
      <c r="AP24" s="4"/>
      <c r="AQ24" s="4"/>
      <c r="AR24" s="4"/>
      <c r="AS24" s="78" t="str">
        <f>"COMMENT ON COLUMN "&amp;エンティティ一覧!$O$2&amp;"."&amp;D$8&amp;"."&amp;D24&amp;" IS '"&amp;C24&amp;"';"</f>
        <v>COMMENT ON COLUMN milscm_2023_010.azn_202310_base_merge_dpc_ff1_a006050.number IS '連番';</v>
      </c>
    </row>
    <row r="25" spans="1:52" s="25" customFormat="1">
      <c r="A25" s="4"/>
      <c r="B25" s="21">
        <f t="shared" si="2"/>
        <v>13</v>
      </c>
      <c r="C25" s="13" t="s">
        <v>666</v>
      </c>
      <c r="D25" s="13" t="s">
        <v>874</v>
      </c>
      <c r="E25" s="7"/>
      <c r="F25" s="7" t="s">
        <v>868</v>
      </c>
      <c r="G25" s="7" t="str">
        <f t="shared" si="3"/>
        <v>text</v>
      </c>
      <c r="H25" s="58"/>
      <c r="I25" s="23"/>
      <c r="J25" s="24" t="s">
        <v>895</v>
      </c>
      <c r="N25" s="78"/>
      <c r="O25" s="78"/>
      <c r="P25" s="78" t="str">
        <f t="shared" si="4"/>
        <v>,icd10_code</v>
      </c>
      <c r="Q25" s="78" t="str">
        <f t="shared" si="0"/>
        <v>TEXT</v>
      </c>
      <c r="R25" s="78" t="str">
        <f t="shared" si="1"/>
        <v/>
      </c>
      <c r="S25" s="78" t="str">
        <f t="shared" si="5"/>
        <v/>
      </c>
      <c r="T25" s="78" t="str">
        <f t="shared" si="6"/>
        <v>-- ICD10コード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milscm_2023_010.azn_202310_base_merge_dpc_ff1_a006050.icd10_code IS 'ICD10コード';</v>
      </c>
    </row>
    <row r="26" spans="1:52" s="25" customFormat="1">
      <c r="A26" s="4"/>
      <c r="B26" s="21">
        <f t="shared" si="2"/>
        <v>14</v>
      </c>
      <c r="C26" s="6" t="s">
        <v>668</v>
      </c>
      <c r="D26" s="6" t="s">
        <v>875</v>
      </c>
      <c r="E26" s="8"/>
      <c r="F26" s="7" t="s">
        <v>868</v>
      </c>
      <c r="G26" s="7" t="str">
        <f t="shared" si="3"/>
        <v>text</v>
      </c>
      <c r="H26" s="26"/>
      <c r="I26" s="10"/>
      <c r="J26" s="11"/>
      <c r="N26" s="78"/>
      <c r="O26" s="78"/>
      <c r="P26" s="78" t="str">
        <f t="shared" si="4"/>
        <v>,shobyo_code</v>
      </c>
      <c r="Q26" s="78" t="str">
        <f t="shared" si="0"/>
        <v>TEXT</v>
      </c>
      <c r="R26" s="78" t="str">
        <f t="shared" si="1"/>
        <v/>
      </c>
      <c r="S26" s="78" t="str">
        <f t="shared" si="5"/>
        <v/>
      </c>
      <c r="T26" s="78" t="str">
        <f t="shared" si="6"/>
        <v>-- 傷病名コード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milscm_2023_010.azn_202310_base_merge_dpc_ff1_a006050.shobyo_code IS '傷病名コード';</v>
      </c>
    </row>
    <row r="27" spans="1:52" s="25" customFormat="1">
      <c r="A27" s="4"/>
      <c r="B27" s="21">
        <f t="shared" si="2"/>
        <v>15</v>
      </c>
      <c r="C27" s="6" t="s">
        <v>670</v>
      </c>
      <c r="D27" s="6" t="s">
        <v>876</v>
      </c>
      <c r="E27" s="8"/>
      <c r="F27" s="7" t="s">
        <v>868</v>
      </c>
      <c r="G27" s="7" t="str">
        <f t="shared" si="3"/>
        <v>text</v>
      </c>
      <c r="H27" s="26"/>
      <c r="I27" s="10"/>
      <c r="J27" s="11"/>
      <c r="N27" s="78"/>
      <c r="O27" s="78"/>
      <c r="P27" s="78" t="str">
        <f t="shared" si="4"/>
        <v>,shushoku_code1</v>
      </c>
      <c r="Q27" s="78" t="str">
        <f t="shared" si="0"/>
        <v>TEXT</v>
      </c>
      <c r="R27" s="78" t="str">
        <f t="shared" si="1"/>
        <v/>
      </c>
      <c r="S27" s="78" t="str">
        <f t="shared" si="5"/>
        <v/>
      </c>
      <c r="T27" s="78" t="str">
        <f t="shared" si="6"/>
        <v>-- 修飾語コード1</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milscm_2023_010.azn_202310_base_merge_dpc_ff1_a006050.shushoku_code1 IS '修飾語コード1';</v>
      </c>
    </row>
    <row r="28" spans="1:52" s="25" customFormat="1">
      <c r="A28" s="4"/>
      <c r="B28" s="21">
        <f t="shared" si="2"/>
        <v>16</v>
      </c>
      <c r="C28" s="13" t="s">
        <v>672</v>
      </c>
      <c r="D28" s="13" t="s">
        <v>877</v>
      </c>
      <c r="E28" s="7"/>
      <c r="F28" s="7" t="s">
        <v>868</v>
      </c>
      <c r="G28" s="7" t="str">
        <f t="shared" si="3"/>
        <v>text</v>
      </c>
      <c r="H28" s="58"/>
      <c r="I28" s="23"/>
      <c r="J28" s="24"/>
      <c r="N28" s="78"/>
      <c r="O28" s="78"/>
      <c r="P28" s="78" t="str">
        <f t="shared" si="4"/>
        <v>,shushoku_code2</v>
      </c>
      <c r="Q28" s="78" t="str">
        <f t="shared" si="0"/>
        <v>TEXT</v>
      </c>
      <c r="R28" s="78" t="str">
        <f t="shared" si="1"/>
        <v/>
      </c>
      <c r="S28" s="78" t="str">
        <f t="shared" si="5"/>
        <v/>
      </c>
      <c r="T28" s="78" t="str">
        <f t="shared" si="6"/>
        <v>-- 修飾語コード2</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milscm_2023_010.azn_202310_base_merge_dpc_ff1_a006050.shushoku_code2 IS '修飾語コード2';</v>
      </c>
    </row>
    <row r="29" spans="1:52" s="25" customFormat="1">
      <c r="A29" s="4"/>
      <c r="B29" s="21">
        <f t="shared" si="2"/>
        <v>17</v>
      </c>
      <c r="C29" s="6" t="s">
        <v>674</v>
      </c>
      <c r="D29" s="6" t="s">
        <v>878</v>
      </c>
      <c r="E29" s="8"/>
      <c r="F29" s="7" t="s">
        <v>868</v>
      </c>
      <c r="G29" s="7" t="str">
        <f t="shared" si="3"/>
        <v>text</v>
      </c>
      <c r="H29" s="26"/>
      <c r="I29" s="10"/>
      <c r="J29" s="11"/>
      <c r="N29" s="78"/>
      <c r="O29" s="78"/>
      <c r="P29" s="78" t="str">
        <f t="shared" si="4"/>
        <v>,shushoku_code3</v>
      </c>
      <c r="Q29" s="78" t="str">
        <f t="shared" si="0"/>
        <v>TEXT</v>
      </c>
      <c r="R29" s="78" t="str">
        <f t="shared" si="1"/>
        <v/>
      </c>
      <c r="S29" s="78" t="str">
        <f t="shared" si="5"/>
        <v/>
      </c>
      <c r="T29" s="78" t="str">
        <f t="shared" si="6"/>
        <v>-- 修飾語コード3</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milscm_2023_010.azn_202310_base_merge_dpc_ff1_a006050.shushoku_code3 IS '修飾語コード3';</v>
      </c>
    </row>
    <row r="30" spans="1:52" s="25" customFormat="1">
      <c r="A30" s="4"/>
      <c r="B30" s="21">
        <f t="shared" si="2"/>
        <v>18</v>
      </c>
      <c r="C30" s="13" t="s">
        <v>676</v>
      </c>
      <c r="D30" s="13" t="s">
        <v>879</v>
      </c>
      <c r="E30" s="7"/>
      <c r="F30" s="7" t="s">
        <v>868</v>
      </c>
      <c r="G30" s="7" t="str">
        <f t="shared" si="3"/>
        <v>text</v>
      </c>
      <c r="H30" s="58"/>
      <c r="I30" s="23"/>
      <c r="J30" s="24"/>
      <c r="N30" s="78"/>
      <c r="O30" s="78"/>
      <c r="P30" s="78" t="str">
        <f t="shared" si="4"/>
        <v>,shushoku_code4</v>
      </c>
      <c r="Q30" s="78" t="str">
        <f t="shared" si="0"/>
        <v>TEXT</v>
      </c>
      <c r="R30" s="78" t="str">
        <f t="shared" si="1"/>
        <v/>
      </c>
      <c r="S30" s="78" t="str">
        <f t="shared" si="5"/>
        <v/>
      </c>
      <c r="T30" s="78" t="str">
        <f t="shared" si="6"/>
        <v>-- 修飾語コード4</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milscm_2023_010.azn_202310_base_merge_dpc_ff1_a006050.shushoku_code4 IS '修飾語コード4';</v>
      </c>
    </row>
    <row r="31" spans="1:52" s="25" customFormat="1" ht="19.5" thickBot="1">
      <c r="A31" s="4"/>
      <c r="B31" s="27">
        <f>ROW()-12</f>
        <v>19</v>
      </c>
      <c r="C31" s="57" t="s">
        <v>891</v>
      </c>
      <c r="D31" s="57" t="s">
        <v>892</v>
      </c>
      <c r="E31" s="56"/>
      <c r="F31" s="56" t="s">
        <v>868</v>
      </c>
      <c r="G31" s="56" t="str">
        <f t="shared" si="3"/>
        <v>text</v>
      </c>
      <c r="H31" s="59"/>
      <c r="I31" s="60"/>
      <c r="J31" s="61" t="s">
        <v>896</v>
      </c>
      <c r="N31" s="78"/>
      <c r="O31" s="78"/>
      <c r="P31" s="78" t="str">
        <f t="shared" ref="P31" si="7">IF(B31&lt;&gt;1,","&amp;D31,D31)</f>
        <v>,nyuin_shikkan_name</v>
      </c>
      <c r="Q31" s="78" t="str">
        <f t="shared" ref="Q31" si="8">UPPER(G31)</f>
        <v>TEXT</v>
      </c>
      <c r="R31" s="78" t="str">
        <f t="shared" ref="R31" si="9">IF(H31&lt;&gt;"","default "&amp;IF(G31="text","'"&amp;H31&amp;"'",H31),"")</f>
        <v/>
      </c>
      <c r="S31" s="78" t="str">
        <f t="shared" ref="S31" si="10">IF(I31="○","NOT NULL","")</f>
        <v/>
      </c>
      <c r="T31" s="78" t="str">
        <f t="shared" ref="T31" si="11">"-- "&amp;C31</f>
        <v>-- 入院後発症疾患名</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milscm_2023_010.azn_202310_base_merge_dpc_ff1_a006050.nyuin_shikkan_name IS '入院後発症疾患名';</v>
      </c>
    </row>
    <row r="32" spans="1:52">
      <c r="L32" s="25"/>
      <c r="M32" s="25"/>
      <c r="N32" s="78" t="s">
        <v>142</v>
      </c>
      <c r="O32" s="78"/>
      <c r="P32" s="78"/>
      <c r="Q32" s="78"/>
      <c r="R32" s="78"/>
      <c r="S32" s="78"/>
      <c r="T32" s="78"/>
      <c r="V32" s="25"/>
      <c r="W32" s="25"/>
      <c r="X32" s="25"/>
      <c r="Y32" s="25"/>
      <c r="Z32" s="25"/>
      <c r="AJ32" s="78"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8"/>
  <hyperlinks>
    <hyperlink ref="A1" location="エンティティ一覧!A1" display="エンティティ一覧" xr:uid="{00000000-0004-0000-A500-000000000000}"/>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ENT_31_16</v>
      </c>
      <c r="E6" s="239"/>
      <c r="F6" s="239"/>
      <c r="G6" s="239"/>
      <c r="H6" s="239"/>
      <c r="I6" s="239"/>
      <c r="J6" s="240"/>
    </row>
    <row r="7" spans="1:45">
      <c r="B7" s="228" t="s">
        <v>115</v>
      </c>
      <c r="C7" s="229"/>
      <c r="D7" s="230" t="s">
        <v>3729</v>
      </c>
      <c r="E7" s="231"/>
      <c r="F7" s="231"/>
      <c r="G7" s="231"/>
      <c r="H7" s="231"/>
      <c r="I7" s="231"/>
      <c r="J7" s="232"/>
    </row>
    <row r="8" spans="1:45">
      <c r="B8" s="228" t="s">
        <v>116</v>
      </c>
      <c r="C8" s="229"/>
      <c r="D8" s="230" t="str">
        <f>エンティティ一覧!AE2&amp;"_"&amp;D5&amp;"_merge_mml_rd_register"</f>
        <v>azn_202310_base_merge_mml_rd_register</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milscm_2023_010.azn_202310_base_merge_mml_rd_register;</v>
      </c>
      <c r="O10" s="78"/>
      <c r="P10" s="78"/>
      <c r="Q10" s="78"/>
      <c r="R10" s="78"/>
      <c r="S10" s="78"/>
      <c r="T10" s="78"/>
      <c r="AJ10" s="78" t="str">
        <f>"ALTER TABLE ONLY "&amp;エンティティ一覧!$O$2&amp;"."&amp;D$8</f>
        <v>ALTER TABLE ONLY milscm_2023_010.azn_202310_base_merge_mml_rd_register</v>
      </c>
      <c r="AS10" s="78" t="str">
        <f>"ALTER TABLE "&amp;エンティティ一覧!$O$2&amp;"."&amp;D$8&amp;" OWNER TO pgmisgrp1;"</f>
        <v>ALTER TABLE milscm_2023_010.azn_202310_base_merge_mml_rd_register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milscm_2023_010.azn_202310_base_merge_mml_rd_register</v>
      </c>
      <c r="O11" s="78"/>
      <c r="P11" s="78"/>
      <c r="Q11" s="78"/>
      <c r="R11" s="78"/>
      <c r="S11" s="78"/>
      <c r="T11" s="78"/>
      <c r="AJ11" s="78" t="str">
        <f>"ADD CONSTRAINT "&amp;D$8&amp;"_pkey PRIMARY KEY"</f>
        <v>ADD CONSTRAINT azn_202310_base_merge_mml_rd_register_pkey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milscm_2023_010.azn_202310_base_merge_mml_rd_register IS 'ベース_診断履歴情報モジュール_診断履歴情報レコード';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milscm_2023_010.azn_202310_base_merge_mml_rd_register.torikomi_ym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milscm_2023_010.azn_202310_base_merge_mml_rd_register.mil_karute_id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milscm_2023_010.azn_202310_base_merge_mml_rd_register.facility_id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milscm_2023_010.azn_202310_base_merge_mml_rd_register.shinryo_ymd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milscm_2023_010.azn_202310_base_merge_mml_rd_register.data_type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milscm_2023_010.azn_202310_base_merge_mml_rd_register.master_id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milscm_2023_010.azn_202310_base_merge_mml_rd_register.uid IS '文書ユニークID';</v>
      </c>
    </row>
    <row r="20" spans="1:52" s="25" customFormat="1" ht="37.5">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milscm_2023_010.azn_202310_base_merge_mml_rd_register.shindan_seq IS '診断SEQ';</v>
      </c>
    </row>
    <row r="21" spans="1:52" s="25" customFormat="1">
      <c r="A21" s="4"/>
      <c r="B21" s="21">
        <f t="shared" si="2"/>
        <v>9</v>
      </c>
      <c r="C21" s="13" t="s">
        <v>1348</v>
      </c>
      <c r="D21" s="13" t="s">
        <v>1349</v>
      </c>
      <c r="E21" s="7"/>
      <c r="F21" s="7" t="s">
        <v>868</v>
      </c>
      <c r="G21" s="7" t="str">
        <f t="shared" si="3"/>
        <v>text</v>
      </c>
      <c r="H21" s="58"/>
      <c r="I21" s="23"/>
      <c r="J21" s="24" t="s">
        <v>1358</v>
      </c>
      <c r="M21" s="4"/>
      <c r="N21" s="78"/>
      <c r="O21" s="78"/>
      <c r="P21" s="78" t="str">
        <f t="shared" si="4"/>
        <v>,shikkan_start_ymd</v>
      </c>
      <c r="Q21" s="78" t="str">
        <f t="shared" si="0"/>
        <v>TEXT</v>
      </c>
      <c r="R21" s="78" t="str">
        <f t="shared" si="1"/>
        <v/>
      </c>
      <c r="S21" s="78" t="str">
        <f t="shared" si="5"/>
        <v/>
      </c>
      <c r="T21" s="78" t="str">
        <f t="shared" si="6"/>
        <v>-- 疾患開始日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milscm_2023_010.azn_202310_base_merge_mml_rd_register.shikkan_start_ymd IS '疾患開始日';</v>
      </c>
    </row>
    <row r="22" spans="1:52" s="25" customFormat="1">
      <c r="A22" s="4"/>
      <c r="B22" s="21">
        <f t="shared" si="2"/>
        <v>10</v>
      </c>
      <c r="C22" s="13" t="s">
        <v>1350</v>
      </c>
      <c r="D22" s="13" t="s">
        <v>1351</v>
      </c>
      <c r="E22" s="7"/>
      <c r="F22" s="7" t="s">
        <v>868</v>
      </c>
      <c r="G22" s="7" t="str">
        <f t="shared" si="3"/>
        <v>text</v>
      </c>
      <c r="H22" s="58"/>
      <c r="I22" s="23"/>
      <c r="J22" s="24" t="s">
        <v>1359</v>
      </c>
      <c r="M22" s="4"/>
      <c r="N22" s="78"/>
      <c r="O22" s="78"/>
      <c r="P22" s="78" t="str">
        <f t="shared" si="4"/>
        <v>,shikkan_end_ymd</v>
      </c>
      <c r="Q22" s="78" t="str">
        <f t="shared" si="0"/>
        <v>TEXT</v>
      </c>
      <c r="R22" s="78" t="str">
        <f t="shared" si="1"/>
        <v/>
      </c>
      <c r="S22" s="78" t="str">
        <f t="shared" si="5"/>
        <v/>
      </c>
      <c r="T22" s="78" t="str">
        <f t="shared" si="6"/>
        <v>-- 疾患終了日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milscm_2023_010.azn_202310_base_merge_mml_rd_register.shikkan_end_ymd IS '疾患終了日';</v>
      </c>
    </row>
    <row r="23" spans="1:52" s="25" customFormat="1">
      <c r="A23" s="4"/>
      <c r="B23" s="21">
        <f t="shared" si="2"/>
        <v>11</v>
      </c>
      <c r="C23" s="13" t="s">
        <v>1352</v>
      </c>
      <c r="D23" s="13" t="s">
        <v>1353</v>
      </c>
      <c r="E23" s="7"/>
      <c r="F23" s="7" t="s">
        <v>868</v>
      </c>
      <c r="G23" s="7" t="str">
        <f t="shared" si="3"/>
        <v>text</v>
      </c>
      <c r="H23" s="58"/>
      <c r="I23" s="23"/>
      <c r="J23" s="24" t="s">
        <v>1360</v>
      </c>
      <c r="M23" s="4"/>
      <c r="N23" s="78"/>
      <c r="O23" s="78"/>
      <c r="P23" s="78" t="str">
        <f t="shared" si="4"/>
        <v>,tenki</v>
      </c>
      <c r="Q23" s="78" t="str">
        <f t="shared" si="0"/>
        <v>TEXT</v>
      </c>
      <c r="R23" s="78" t="str">
        <f t="shared" si="1"/>
        <v/>
      </c>
      <c r="S23" s="78" t="str">
        <f t="shared" si="5"/>
        <v/>
      </c>
      <c r="T23" s="78" t="str">
        <f t="shared" si="6"/>
        <v>-- 転帰</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milscm_2023_010.azn_202310_base_merge_mml_rd_register.tenki IS '転帰';</v>
      </c>
    </row>
    <row r="24" spans="1:52" s="25" customFormat="1" ht="19.5" thickBot="1">
      <c r="A24" s="4"/>
      <c r="B24" s="27">
        <f>ROW()-12</f>
        <v>12</v>
      </c>
      <c r="C24" s="57" t="s">
        <v>1354</v>
      </c>
      <c r="D24" s="57" t="s">
        <v>1355</v>
      </c>
      <c r="E24" s="56"/>
      <c r="F24" s="56" t="s">
        <v>868</v>
      </c>
      <c r="G24" s="56" t="str">
        <f t="shared" si="3"/>
        <v>text</v>
      </c>
      <c r="H24" s="59"/>
      <c r="I24" s="60"/>
      <c r="J24" s="64" t="s">
        <v>1361</v>
      </c>
      <c r="N24" s="78"/>
      <c r="O24" s="78"/>
      <c r="P24" s="78" t="str">
        <f t="shared" si="4"/>
        <v>,shikkan_first_ymd</v>
      </c>
      <c r="Q24" s="78" t="str">
        <f t="shared" si="0"/>
        <v>TEXT</v>
      </c>
      <c r="R24" s="78" t="str">
        <f t="shared" si="1"/>
        <v/>
      </c>
      <c r="S24" s="78" t="str">
        <f t="shared" si="5"/>
        <v/>
      </c>
      <c r="T24" s="78" t="str">
        <f t="shared" si="6"/>
        <v>-- 疾患の初診日</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milscm_2023_010.azn_202310_base_merge_mml_rd_register.shikkan_first_ymd IS '疾患の初診日';</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600-000000000000}"/>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AZ46"/>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ENT_31_17</v>
      </c>
      <c r="E6" s="239"/>
      <c r="F6" s="239"/>
      <c r="G6" s="239"/>
      <c r="H6" s="239"/>
      <c r="I6" s="239"/>
      <c r="J6" s="240"/>
    </row>
    <row r="7" spans="1:45">
      <c r="B7" s="228" t="s">
        <v>115</v>
      </c>
      <c r="C7" s="229"/>
      <c r="D7" s="230" t="s">
        <v>3730</v>
      </c>
      <c r="E7" s="231"/>
      <c r="F7" s="231"/>
      <c r="G7" s="231"/>
      <c r="H7" s="231"/>
      <c r="I7" s="231"/>
      <c r="J7" s="232"/>
    </row>
    <row r="8" spans="1:45">
      <c r="B8" s="228" t="s">
        <v>116</v>
      </c>
      <c r="C8" s="229"/>
      <c r="D8" s="230" t="str">
        <f>エンティティ一覧!AE2&amp;"_"&amp;D5&amp;"_merge_mml_rd_byomei"</f>
        <v>azn_202310_base_merge_mml_rd_byomei</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milscm_2023_010.azn_202310_base_merge_mml_rd_byomei;</v>
      </c>
      <c r="O10" s="78"/>
      <c r="P10" s="78"/>
      <c r="Q10" s="78"/>
      <c r="R10" s="78"/>
      <c r="S10" s="78"/>
      <c r="T10" s="78"/>
      <c r="AJ10" s="78" t="str">
        <f>"ALTER TABLE ONLY "&amp;エンティティ一覧!$O$2&amp;"."&amp;D$8</f>
        <v>ALTER TABLE ONLY milscm_2023_010.azn_202310_base_merge_mml_rd_byomei</v>
      </c>
      <c r="AS10" s="78" t="str">
        <f>"ALTER TABLE "&amp;エンティティ一覧!$O$2&amp;"."&amp;D$8&amp;" OWNER TO pgmisgrp1;"</f>
        <v>ALTER TABLE milscm_2023_010.azn_202310_base_merge_mml_rd_byomei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milscm_2023_010.azn_202310_base_merge_mml_rd_byomei</v>
      </c>
      <c r="O11" s="78"/>
      <c r="P11" s="78"/>
      <c r="Q11" s="78"/>
      <c r="R11" s="78"/>
      <c r="S11" s="78"/>
      <c r="T11" s="78"/>
      <c r="AJ11" s="78" t="str">
        <f>"ADD CONSTRAINT "&amp;D$8&amp;"_pkey PRIMARY KEY"</f>
        <v>ADD CONSTRAINT azn_202310_base_merge_mml_rd_byomei_pkey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milscm_2023_010.azn_202310_base_merge_mml_rd_byomei IS 'ベース_診断履歴情報モジュール_診断病名レコード';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4" si="0">UPPER(G13)</f>
        <v>TEXT</v>
      </c>
      <c r="R13" s="78" t="str">
        <f t="shared" ref="R13:R24"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milscm_2023_010.azn_202310_base_merge_mml_rd_byomei.torikomi_ym IS '取込年月';</v>
      </c>
    </row>
    <row r="14" spans="1:45" s="25" customFormat="1">
      <c r="A14" s="4"/>
      <c r="B14" s="21">
        <f t="shared" ref="B14:B23" si="2">ROW()-12</f>
        <v>2</v>
      </c>
      <c r="C14" s="6" t="s">
        <v>203</v>
      </c>
      <c r="D14" s="6" t="s">
        <v>204</v>
      </c>
      <c r="E14" s="8"/>
      <c r="F14" s="7" t="s">
        <v>205</v>
      </c>
      <c r="G14" s="7" t="str">
        <f t="shared" ref="G14:G24" si="3">IF(F14="フラグ","boolean",IF(F14="文字列","text",IF(F14="整数","integer",IF(F14="実数","numeric",""))))</f>
        <v>integer</v>
      </c>
      <c r="H14" s="26"/>
      <c r="I14" s="10"/>
      <c r="J14" s="11" t="s">
        <v>1327</v>
      </c>
      <c r="M14" s="4"/>
      <c r="N14" s="78"/>
      <c r="O14" s="78"/>
      <c r="P14" s="78" t="str">
        <f t="shared" ref="P14:P24"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milscm_2023_010.azn_202310_base_merge_mml_rd_byomei.mil_karute_id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4" si="5">IF(I15="○","NOT NULL","")</f>
        <v>NOT NULL</v>
      </c>
      <c r="T15" s="78" t="str">
        <f t="shared" ref="T15:T24"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milscm_2023_010.azn_202310_base_merge_mml_rd_byomei.facility_id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milscm_2023_010.azn_202310_base_merge_mml_rd_byomei.shinryo_ymd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milscm_2023_010.azn_202310_base_merge_mml_rd_byomei.data_type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milscm_2023_010.azn_202310_base_merge_mml_rd_byomei.master_id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milscm_2023_010.azn_202310_base_merge_mml_rd_byomei.uid IS '文書ユニークID';</v>
      </c>
    </row>
    <row r="20" spans="1:52" s="25" customFormat="1" ht="37.5">
      <c r="A20" s="4"/>
      <c r="B20" s="21">
        <f t="shared" si="2"/>
        <v>8</v>
      </c>
      <c r="C20" s="13" t="s">
        <v>1346</v>
      </c>
      <c r="D20" s="13" t="s">
        <v>1347</v>
      </c>
      <c r="E20" s="7" t="s">
        <v>127</v>
      </c>
      <c r="F20" s="7" t="s">
        <v>205</v>
      </c>
      <c r="G20" s="7" t="str">
        <f t="shared" si="3"/>
        <v>integer</v>
      </c>
      <c r="H20" s="58"/>
      <c r="I20" s="23" t="s">
        <v>127</v>
      </c>
      <c r="J20" s="24" t="s">
        <v>1357</v>
      </c>
      <c r="M20" s="4"/>
      <c r="N20" s="78"/>
      <c r="O20" s="78"/>
      <c r="P20" s="78" t="str">
        <f t="shared" si="4"/>
        <v>,shindan_seq</v>
      </c>
      <c r="Q20" s="78" t="str">
        <f t="shared" si="0"/>
        <v>INTEGER</v>
      </c>
      <c r="R20" s="78" t="str">
        <f t="shared" si="1"/>
        <v/>
      </c>
      <c r="S20" s="78" t="str">
        <f t="shared" si="5"/>
        <v>NOT NULL</v>
      </c>
      <c r="T20" s="78" t="str">
        <f t="shared" si="6"/>
        <v>-- 診断SEQ</v>
      </c>
      <c r="U20" s="4"/>
      <c r="AA20" s="4"/>
      <c r="AB20" s="4"/>
      <c r="AC20" s="4"/>
      <c r="AD20" s="4"/>
      <c r="AE20" s="4"/>
      <c r="AF20" s="4"/>
      <c r="AG20" s="4"/>
      <c r="AH20" s="4"/>
      <c r="AI20" s="4"/>
      <c r="AJ20" s="78" t="str">
        <f>IF(E20="○",IF(COUNTA(E$13:E20)=1,"",",")&amp;D20,"")</f>
        <v>,shindan_seq</v>
      </c>
      <c r="AK20" s="4"/>
      <c r="AL20" s="4"/>
      <c r="AM20" s="4"/>
      <c r="AN20" s="4"/>
      <c r="AO20" s="4"/>
      <c r="AP20" s="4"/>
      <c r="AQ20" s="4"/>
      <c r="AR20" s="4"/>
      <c r="AS20" s="78" t="str">
        <f>"COMMENT ON COLUMN "&amp;エンティティ一覧!$O$2&amp;"."&amp;D$8&amp;"."&amp;D20&amp;" IS '"&amp;C20&amp;"';"</f>
        <v>COMMENT ON COLUMN milscm_2023_010.azn_202310_base_merge_mml_rd_byomei.shindan_seq IS '診断SEQ';</v>
      </c>
    </row>
    <row r="21" spans="1:52" s="25" customFormat="1">
      <c r="A21" s="4"/>
      <c r="B21" s="21">
        <f t="shared" si="2"/>
        <v>9</v>
      </c>
      <c r="C21" s="13" t="s">
        <v>1364</v>
      </c>
      <c r="D21" s="13" t="s">
        <v>1365</v>
      </c>
      <c r="E21" s="7" t="s">
        <v>127</v>
      </c>
      <c r="F21" s="7" t="s">
        <v>205</v>
      </c>
      <c r="G21" s="7" t="str">
        <f t="shared" si="3"/>
        <v>integer</v>
      </c>
      <c r="H21" s="58"/>
      <c r="I21" s="23" t="s">
        <v>127</v>
      </c>
      <c r="J21" s="24" t="s">
        <v>1372</v>
      </c>
      <c r="M21" s="4"/>
      <c r="N21" s="78"/>
      <c r="O21" s="78"/>
      <c r="P21" s="78" t="str">
        <f t="shared" si="4"/>
        <v>,byomei_seq</v>
      </c>
      <c r="Q21" s="78" t="str">
        <f t="shared" si="0"/>
        <v>INTEGER</v>
      </c>
      <c r="R21" s="78" t="str">
        <f t="shared" si="1"/>
        <v/>
      </c>
      <c r="S21" s="78" t="str">
        <f t="shared" si="5"/>
        <v>NOT NULL</v>
      </c>
      <c r="T21" s="78" t="str">
        <f t="shared" si="6"/>
        <v>-- 病名SEQ</v>
      </c>
      <c r="U21" s="4"/>
      <c r="AA21" s="4"/>
      <c r="AB21" s="4"/>
      <c r="AC21" s="4"/>
      <c r="AD21" s="4"/>
      <c r="AE21" s="4"/>
      <c r="AF21" s="4"/>
      <c r="AG21" s="4"/>
      <c r="AH21" s="4"/>
      <c r="AI21" s="4"/>
      <c r="AJ21" s="78" t="str">
        <f>IF(E21="○",IF(COUNTA(E$13:E21)=1,"",",")&amp;D21,"")</f>
        <v>,byomei_seq</v>
      </c>
      <c r="AK21" s="4"/>
      <c r="AL21" s="4"/>
      <c r="AM21" s="4"/>
      <c r="AN21" s="4"/>
      <c r="AO21" s="4"/>
      <c r="AP21" s="4"/>
      <c r="AQ21" s="4"/>
      <c r="AR21" s="4"/>
      <c r="AS21" s="78" t="str">
        <f>"COMMENT ON COLUMN "&amp;エンティティ一覧!$O$2&amp;"."&amp;D$8&amp;"."&amp;D21&amp;" IS '"&amp;C21&amp;"';"</f>
        <v>COMMENT ON COLUMN milscm_2023_010.azn_202310_base_merge_mml_rd_byomei.byomei_seq IS '病名SEQ';</v>
      </c>
    </row>
    <row r="22" spans="1:52" s="25" customFormat="1">
      <c r="A22" s="4"/>
      <c r="B22" s="21">
        <f t="shared" si="2"/>
        <v>10</v>
      </c>
      <c r="C22" s="13" t="s">
        <v>1366</v>
      </c>
      <c r="D22" s="13" t="s">
        <v>1367</v>
      </c>
      <c r="E22" s="7"/>
      <c r="F22" s="7" t="s">
        <v>868</v>
      </c>
      <c r="G22" s="7" t="str">
        <f t="shared" si="3"/>
        <v>text</v>
      </c>
      <c r="H22" s="58"/>
      <c r="I22" s="23"/>
      <c r="J22" s="24" t="s">
        <v>1373</v>
      </c>
      <c r="M22" s="4"/>
      <c r="N22" s="78"/>
      <c r="O22" s="78"/>
      <c r="P22" s="78" t="str">
        <f t="shared" si="4"/>
        <v>,byomei</v>
      </c>
      <c r="Q22" s="78" t="str">
        <f t="shared" si="0"/>
        <v>TEXT</v>
      </c>
      <c r="R22" s="78" t="str">
        <f t="shared" si="1"/>
        <v/>
      </c>
      <c r="S22" s="78" t="str">
        <f t="shared" si="5"/>
        <v/>
      </c>
      <c r="T22" s="78" t="str">
        <f t="shared" si="6"/>
        <v>-- 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milscm_2023_010.azn_202310_base_merge_mml_rd_byomei.byomei IS '病名';</v>
      </c>
    </row>
    <row r="23" spans="1:52" s="25" customFormat="1">
      <c r="A23" s="4"/>
      <c r="B23" s="21">
        <f t="shared" si="2"/>
        <v>11</v>
      </c>
      <c r="C23" s="13" t="s">
        <v>1368</v>
      </c>
      <c r="D23" s="13" t="s">
        <v>1369</v>
      </c>
      <c r="E23" s="7"/>
      <c r="F23" s="7" t="s">
        <v>868</v>
      </c>
      <c r="G23" s="7" t="str">
        <f t="shared" si="3"/>
        <v>text</v>
      </c>
      <c r="H23" s="58"/>
      <c r="I23" s="23"/>
      <c r="J23" s="24" t="s">
        <v>1374</v>
      </c>
      <c r="M23" s="4"/>
      <c r="N23" s="78"/>
      <c r="O23" s="78"/>
      <c r="P23" s="78" t="str">
        <f t="shared" si="4"/>
        <v>,byomei_code</v>
      </c>
      <c r="Q23" s="78" t="str">
        <f t="shared" si="0"/>
        <v>TEXT</v>
      </c>
      <c r="R23" s="78" t="str">
        <f t="shared" si="1"/>
        <v/>
      </c>
      <c r="S23" s="78" t="str">
        <f t="shared" si="5"/>
        <v/>
      </c>
      <c r="T23" s="78" t="str">
        <f t="shared" si="6"/>
        <v>-- 病名コード値</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milscm_2023_010.azn_202310_base_merge_mml_rd_byomei.byomei_code IS '病名コード値';</v>
      </c>
    </row>
    <row r="24" spans="1:52" s="25" customFormat="1" ht="19.5" thickBot="1">
      <c r="A24" s="4"/>
      <c r="B24" s="27">
        <f>ROW()-12</f>
        <v>12</v>
      </c>
      <c r="C24" s="57" t="s">
        <v>1370</v>
      </c>
      <c r="D24" s="57" t="s">
        <v>1371</v>
      </c>
      <c r="E24" s="56"/>
      <c r="F24" s="56" t="s">
        <v>868</v>
      </c>
      <c r="G24" s="56" t="str">
        <f t="shared" si="3"/>
        <v>text</v>
      </c>
      <c r="H24" s="59"/>
      <c r="I24" s="60"/>
      <c r="J24" s="64" t="s">
        <v>1375</v>
      </c>
      <c r="N24" s="78"/>
      <c r="O24" s="78"/>
      <c r="P24" s="78" t="str">
        <f t="shared" si="4"/>
        <v>,byomei_code_id</v>
      </c>
      <c r="Q24" s="78" t="str">
        <f t="shared" si="0"/>
        <v>TEXT</v>
      </c>
      <c r="R24" s="78" t="str">
        <f t="shared" si="1"/>
        <v/>
      </c>
      <c r="S24" s="78" t="str">
        <f t="shared" si="5"/>
        <v/>
      </c>
      <c r="T24" s="78" t="str">
        <f t="shared" si="6"/>
        <v>-- 病名コード体系名</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milscm_2023_010.azn_202310_base_merge_mml_rd_byomei.byomei_code_id IS '病名コード体系名';</v>
      </c>
    </row>
    <row r="25" spans="1:52">
      <c r="L25" s="25"/>
      <c r="M25" s="25"/>
      <c r="N25" s="78" t="s">
        <v>142</v>
      </c>
      <c r="O25" s="78"/>
      <c r="P25" s="78"/>
      <c r="Q25" s="78"/>
      <c r="R25" s="78"/>
      <c r="S25" s="78"/>
      <c r="T25" s="78"/>
      <c r="V25" s="25"/>
      <c r="W25" s="25"/>
      <c r="X25" s="25"/>
      <c r="Y25" s="25"/>
      <c r="Z25" s="25"/>
      <c r="AJ25" s="78"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700-000000000000}"/>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AZ43"/>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ENT_31_18</v>
      </c>
      <c r="E6" s="239"/>
      <c r="F6" s="239"/>
      <c r="G6" s="239"/>
      <c r="H6" s="239"/>
      <c r="I6" s="239"/>
      <c r="J6" s="240"/>
    </row>
    <row r="7" spans="1:45">
      <c r="B7" s="228" t="s">
        <v>115</v>
      </c>
      <c r="C7" s="229"/>
      <c r="D7" s="230" t="s">
        <v>3731</v>
      </c>
      <c r="E7" s="231"/>
      <c r="F7" s="231"/>
      <c r="G7" s="231"/>
      <c r="H7" s="231"/>
      <c r="I7" s="231"/>
      <c r="J7" s="232"/>
    </row>
    <row r="8" spans="1:45">
      <c r="B8" s="228" t="s">
        <v>116</v>
      </c>
      <c r="C8" s="229"/>
      <c r="D8" s="230" t="str">
        <f>エンティティ一覧!AE2&amp;"_"&amp;D5&amp;"_merge_mml_pc_progress_course"</f>
        <v>azn_202310_base_merge_mml_pc_progress_course</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milscm_2023_010.azn_202310_base_merge_mml_pc_progress_course;</v>
      </c>
      <c r="O10" s="78"/>
      <c r="P10" s="78"/>
      <c r="Q10" s="78"/>
      <c r="R10" s="78"/>
      <c r="S10" s="78"/>
      <c r="T10" s="78"/>
      <c r="AJ10" s="78" t="str">
        <f>"ALTER TABLE ONLY "&amp;エンティティ一覧!$O$2&amp;"."&amp;D$8</f>
        <v>ALTER TABLE ONLY milscm_2023_010.azn_202310_base_merge_mml_pc_progress_course</v>
      </c>
      <c r="AS10" s="78" t="str">
        <f>"ALTER TABLE "&amp;エンティティ一覧!$O$2&amp;"."&amp;D$8&amp;" OWNER TO pgmisgrp1;"</f>
        <v>ALTER TABLE milscm_2023_010.azn_202310_base_merge_mml_pc_progress_course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milscm_2023_010.azn_202310_base_merge_mml_pc_progress_course</v>
      </c>
      <c r="O11" s="78"/>
      <c r="P11" s="78"/>
      <c r="Q11" s="78"/>
      <c r="R11" s="78"/>
      <c r="S11" s="78"/>
      <c r="T11" s="78"/>
      <c r="AJ11" s="78" t="str">
        <f>"ADD CONSTRAINT "&amp;D$8&amp;"_pkey PRIMARY KEY"</f>
        <v>ADD CONSTRAINT azn_202310_base_merge_mml_pc_progress_course_pkey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milscm_2023_010.azn_202310_base_merge_mml_pc_progress_course IS 'ベース_経過記録情報モジュール_経過記録情報レコード';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1" si="0">UPPER(G13)</f>
        <v>TEXT</v>
      </c>
      <c r="R13" s="78" t="str">
        <f t="shared" ref="R13:R21"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milscm_2023_010.azn_202310_base_merge_mml_pc_progress_course.torikomi_ym IS '取込年月';</v>
      </c>
    </row>
    <row r="14" spans="1:45" s="25" customFormat="1">
      <c r="A14" s="4"/>
      <c r="B14" s="21">
        <f t="shared" ref="B14:B20" si="2">ROW()-12</f>
        <v>2</v>
      </c>
      <c r="C14" s="6" t="s">
        <v>203</v>
      </c>
      <c r="D14" s="6" t="s">
        <v>204</v>
      </c>
      <c r="E14" s="8"/>
      <c r="F14" s="7" t="s">
        <v>205</v>
      </c>
      <c r="G14" s="7" t="str">
        <f t="shared" ref="G14:G21" si="3">IF(F14="フラグ","boolean",IF(F14="文字列","text",IF(F14="整数","integer",IF(F14="実数","numeric",""))))</f>
        <v>integer</v>
      </c>
      <c r="H14" s="26"/>
      <c r="I14" s="10"/>
      <c r="J14" s="11" t="s">
        <v>1327</v>
      </c>
      <c r="M14" s="4"/>
      <c r="N14" s="78"/>
      <c r="O14" s="78"/>
      <c r="P14" s="78" t="str">
        <f t="shared" ref="P14:P21"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milscm_2023_010.azn_202310_base_merge_mml_pc_progress_course.mil_karute_id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1" si="5">IF(I15="○","NOT NULL","")</f>
        <v>NOT NULL</v>
      </c>
      <c r="T15" s="78" t="str">
        <f t="shared" ref="T15:T21"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milscm_2023_010.azn_202310_base_merge_mml_pc_progress_course.facility_id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milscm_2023_010.azn_202310_base_merge_mml_pc_progress_course.shinryo_ymd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milscm_2023_010.azn_202310_base_merge_mml_pc_progress_course.data_type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milscm_2023_010.azn_202310_base_merge_mml_pc_progress_course.master_id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milscm_2023_010.azn_202310_base_merge_mml_pc_progress_course.uid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milscm_2023_010.azn_202310_base_merge_mml_pc_progress_course.keika_seq IS '経過記録SEQ';</v>
      </c>
    </row>
    <row r="21" spans="1:52" s="25" customFormat="1" ht="38.25" thickBot="1">
      <c r="A21" s="4"/>
      <c r="B21" s="27">
        <f>ROW()-12</f>
        <v>9</v>
      </c>
      <c r="C21" s="57" t="s">
        <v>1391</v>
      </c>
      <c r="D21" s="57" t="s">
        <v>1392</v>
      </c>
      <c r="E21" s="56"/>
      <c r="F21" s="56" t="s">
        <v>868</v>
      </c>
      <c r="G21" s="56" t="str">
        <f t="shared" si="3"/>
        <v>text</v>
      </c>
      <c r="H21" s="59"/>
      <c r="I21" s="60"/>
      <c r="J21" s="64" t="s">
        <v>1394</v>
      </c>
      <c r="N21" s="78"/>
      <c r="O21" s="78"/>
      <c r="P21" s="78" t="str">
        <f t="shared" si="4"/>
        <v>,free_expression</v>
      </c>
      <c r="Q21" s="78" t="str">
        <f t="shared" si="0"/>
        <v>TEXT</v>
      </c>
      <c r="R21" s="78" t="str">
        <f t="shared" si="1"/>
        <v/>
      </c>
      <c r="S21" s="78" t="str">
        <f t="shared" si="5"/>
        <v/>
      </c>
      <c r="T21" s="78" t="str">
        <f t="shared" si="6"/>
        <v>-- 自由記載</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milscm_2023_010.azn_202310_base_merge_mml_pc_progress_course.free_expression IS '自由記載';</v>
      </c>
    </row>
    <row r="22" spans="1:52">
      <c r="L22" s="25"/>
      <c r="M22" s="25"/>
      <c r="N22" s="78" t="s">
        <v>142</v>
      </c>
      <c r="O22" s="78"/>
      <c r="P22" s="78"/>
      <c r="Q22" s="78"/>
      <c r="R22" s="78"/>
      <c r="S22" s="78"/>
      <c r="T22" s="78"/>
      <c r="V22" s="25"/>
      <c r="W22" s="25"/>
      <c r="X22" s="25"/>
      <c r="Y22" s="25"/>
      <c r="Z22" s="25"/>
      <c r="AJ22" s="78"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800-000000000000}"/>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AZ54"/>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ENT_31_19</v>
      </c>
      <c r="E6" s="239"/>
      <c r="F6" s="239"/>
      <c r="G6" s="239"/>
      <c r="H6" s="239"/>
      <c r="I6" s="239"/>
      <c r="J6" s="240"/>
    </row>
    <row r="7" spans="1:45">
      <c r="B7" s="228" t="s">
        <v>115</v>
      </c>
      <c r="C7" s="229"/>
      <c r="D7" s="230" t="s">
        <v>3732</v>
      </c>
      <c r="E7" s="231"/>
      <c r="F7" s="231"/>
      <c r="G7" s="231"/>
      <c r="H7" s="231"/>
      <c r="I7" s="231"/>
      <c r="J7" s="232"/>
    </row>
    <row r="8" spans="1:45">
      <c r="B8" s="228" t="s">
        <v>116</v>
      </c>
      <c r="C8" s="229"/>
      <c r="D8" s="230" t="str">
        <f>エンティティ一覧!AE2&amp;"_"&amp;D5&amp;"_merge_mml_pc_problem"</f>
        <v>azn_202310_base_merge_mml_pc_problem</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milscm_2023_010.azn_202310_base_merge_mml_pc_problem;</v>
      </c>
      <c r="O10" s="78"/>
      <c r="P10" s="78"/>
      <c r="Q10" s="78"/>
      <c r="R10" s="78"/>
      <c r="S10" s="78"/>
      <c r="T10" s="78"/>
      <c r="AJ10" s="78" t="str">
        <f>"ALTER TABLE ONLY "&amp;エンティティ一覧!$O$2&amp;"."&amp;D$8</f>
        <v>ALTER TABLE ONLY milscm_2023_010.azn_202310_base_merge_mml_pc_problem</v>
      </c>
      <c r="AS10" s="78" t="str">
        <f>"ALTER TABLE "&amp;エンティティ一覧!$O$2&amp;"."&amp;D$8&amp;" OWNER TO pgmisgrp1;"</f>
        <v>ALTER TABLE milscm_2023_010.azn_202310_base_merge_mml_pc_problem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milscm_2023_010.azn_202310_base_merge_mml_pc_problem</v>
      </c>
      <c r="O11" s="78"/>
      <c r="P11" s="78"/>
      <c r="Q11" s="78"/>
      <c r="R11" s="78"/>
      <c r="S11" s="78"/>
      <c r="T11" s="78"/>
      <c r="AJ11" s="78" t="str">
        <f>"ADD CONSTRAINT "&amp;D$8&amp;"_pkey PRIMARY KEY"</f>
        <v>ADD CONSTRAINT azn_202310_base_merge_mml_pc_problem_pkey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milscm_2023_010.azn_202310_base_merge_mml_pc_problem IS 'ベース_経過記録情報モジュール_プロブレムレコード';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2" si="0">UPPER(G13)</f>
        <v>TEXT</v>
      </c>
      <c r="R13" s="78" t="str">
        <f t="shared" ref="R13:R32"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milscm_2023_010.azn_202310_base_merge_mml_pc_problem.torikomi_ym IS '取込年月';</v>
      </c>
    </row>
    <row r="14" spans="1:45" s="25" customFormat="1">
      <c r="A14" s="4"/>
      <c r="B14" s="21">
        <f t="shared" ref="B14:B31" si="2">ROW()-12</f>
        <v>2</v>
      </c>
      <c r="C14" s="6" t="s">
        <v>203</v>
      </c>
      <c r="D14" s="6" t="s">
        <v>204</v>
      </c>
      <c r="E14" s="8"/>
      <c r="F14" s="7" t="s">
        <v>205</v>
      </c>
      <c r="G14" s="7" t="str">
        <f t="shared" ref="G14:G32" si="3">IF(F14="フラグ","boolean",IF(F14="文字列","text",IF(F14="整数","integer",IF(F14="実数","numeric",""))))</f>
        <v>integer</v>
      </c>
      <c r="H14" s="26"/>
      <c r="I14" s="10"/>
      <c r="J14" s="11" t="s">
        <v>1327</v>
      </c>
      <c r="M14" s="4"/>
      <c r="N14" s="78"/>
      <c r="O14" s="78"/>
      <c r="P14" s="78" t="str">
        <f t="shared" ref="P14:P32"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milscm_2023_010.azn_202310_base_merge_mml_pc_problem.mil_karute_id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2" si="5">IF(I15="○","NOT NULL","")</f>
        <v>NOT NULL</v>
      </c>
      <c r="T15" s="78" t="str">
        <f t="shared" ref="T15:T32"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milscm_2023_010.azn_202310_base_merge_mml_pc_problem.facility_id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milscm_2023_010.azn_202310_base_merge_mml_pc_problem.shinryo_ymd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milscm_2023_010.azn_202310_base_merge_mml_pc_problem.data_type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milscm_2023_010.azn_202310_base_merge_mml_pc_problem.master_id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milscm_2023_010.azn_202310_base_merge_mml_pc_problem.uid IS '文書ユニークID';</v>
      </c>
    </row>
    <row r="20" spans="1:45"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milscm_2023_010.azn_202310_base_merge_mml_pc_problem.keika_seq IS '経過記録SEQ';</v>
      </c>
    </row>
    <row r="21" spans="1:45"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milscm_2023_010.azn_202310_base_merge_mml_pc_problem.problem_seq IS 'プロブレムSEQ';</v>
      </c>
    </row>
    <row r="22" spans="1:45" s="25" customFormat="1" ht="37.5">
      <c r="A22" s="4"/>
      <c r="B22" s="21">
        <f t="shared" si="2"/>
        <v>10</v>
      </c>
      <c r="C22" s="13" t="s">
        <v>1399</v>
      </c>
      <c r="D22" s="13" t="s">
        <v>1400</v>
      </c>
      <c r="E22" s="7"/>
      <c r="F22" s="7" t="s">
        <v>868</v>
      </c>
      <c r="G22" s="7" t="str">
        <f t="shared" si="3"/>
        <v>text</v>
      </c>
      <c r="H22" s="58"/>
      <c r="I22" s="23"/>
      <c r="J22" s="24" t="s">
        <v>1422</v>
      </c>
      <c r="M22" s="4"/>
      <c r="N22" s="78"/>
      <c r="O22" s="78"/>
      <c r="P22" s="78" t="str">
        <f t="shared" si="4"/>
        <v>,problem_shippei_name</v>
      </c>
      <c r="Q22" s="78" t="str">
        <f t="shared" si="0"/>
        <v>TEXT</v>
      </c>
      <c r="R22" s="78" t="str">
        <f t="shared" si="1"/>
        <v/>
      </c>
      <c r="S22" s="78" t="str">
        <f t="shared" si="5"/>
        <v/>
      </c>
      <c r="T22" s="78" t="str">
        <f t="shared" si="6"/>
        <v>-- プロブレム名（疾病名）</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milscm_2023_010.azn_202310_base_merge_mml_pc_problem.problem_shippei_name IS 'プロブレム名（疾病名）';</v>
      </c>
    </row>
    <row r="23" spans="1:45" s="25" customFormat="1" ht="56.25">
      <c r="A23" s="4"/>
      <c r="B23" s="21">
        <f t="shared" si="2"/>
        <v>11</v>
      </c>
      <c r="C23" s="13" t="s">
        <v>1401</v>
      </c>
      <c r="D23" s="13" t="s">
        <v>1402</v>
      </c>
      <c r="E23" s="7"/>
      <c r="F23" s="7" t="s">
        <v>868</v>
      </c>
      <c r="G23" s="7" t="str">
        <f t="shared" si="3"/>
        <v>text</v>
      </c>
      <c r="H23" s="58"/>
      <c r="I23" s="23"/>
      <c r="J23" s="24" t="s">
        <v>1423</v>
      </c>
      <c r="M23" s="4"/>
      <c r="N23" s="78"/>
      <c r="O23" s="78"/>
      <c r="P23" s="78" t="str">
        <f t="shared" si="4"/>
        <v>,shindan_name_uid</v>
      </c>
      <c r="Q23" s="78" t="str">
        <f t="shared" si="0"/>
        <v>TEXT</v>
      </c>
      <c r="R23" s="78" t="str">
        <f t="shared" si="1"/>
        <v/>
      </c>
      <c r="S23" s="78" t="str">
        <f t="shared" si="5"/>
        <v/>
      </c>
      <c r="T23" s="78" t="str">
        <f t="shared" si="6"/>
        <v>-- 診断名のuid</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milscm_2023_010.azn_202310_base_merge_mml_pc_problem.shindan_name_uid IS '診断名のuid';</v>
      </c>
    </row>
    <row r="24" spans="1:45" s="25" customFormat="1" ht="37.5">
      <c r="A24" s="4"/>
      <c r="B24" s="21">
        <f t="shared" si="2"/>
        <v>12</v>
      </c>
      <c r="C24" s="13" t="s">
        <v>1403</v>
      </c>
      <c r="D24" s="13" t="s">
        <v>1404</v>
      </c>
      <c r="E24" s="7"/>
      <c r="F24" s="7" t="s">
        <v>868</v>
      </c>
      <c r="G24" s="7" t="str">
        <f t="shared" si="3"/>
        <v>text</v>
      </c>
      <c r="H24" s="58"/>
      <c r="I24" s="23"/>
      <c r="J24" s="24" t="s">
        <v>1424</v>
      </c>
      <c r="M24" s="4"/>
      <c r="N24" s="78"/>
      <c r="O24" s="78"/>
      <c r="P24" s="78" t="str">
        <f t="shared" si="4"/>
        <v>,free_note</v>
      </c>
      <c r="Q24" s="78" t="str">
        <f t="shared" si="0"/>
        <v>TEXT</v>
      </c>
      <c r="R24" s="78" t="str">
        <f t="shared" si="1"/>
        <v/>
      </c>
      <c r="S24" s="78" t="str">
        <f t="shared" si="5"/>
        <v/>
      </c>
      <c r="T24" s="78" t="str">
        <f t="shared" si="6"/>
        <v>-- 自由文章表現</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milscm_2023_010.azn_202310_base_merge_mml_pc_problem.free_note IS '自由文章表現';</v>
      </c>
    </row>
    <row r="25" spans="1:45" s="25" customFormat="1" ht="37.5">
      <c r="A25" s="4"/>
      <c r="B25" s="21">
        <f t="shared" si="2"/>
        <v>13</v>
      </c>
      <c r="C25" s="13" t="s">
        <v>1405</v>
      </c>
      <c r="D25" s="13" t="s">
        <v>1406</v>
      </c>
      <c r="E25" s="7"/>
      <c r="F25" s="7" t="s">
        <v>868</v>
      </c>
      <c r="G25" s="7" t="str">
        <f t="shared" si="3"/>
        <v>text</v>
      </c>
      <c r="H25" s="58"/>
      <c r="I25" s="23"/>
      <c r="J25" s="24" t="s">
        <v>1425</v>
      </c>
      <c r="M25" s="4"/>
      <c r="N25" s="78"/>
      <c r="O25" s="78"/>
      <c r="P25" s="78" t="str">
        <f t="shared" si="4"/>
        <v>,free_expression_objective</v>
      </c>
      <c r="Q25" s="78" t="str">
        <f t="shared" si="0"/>
        <v>TEXT</v>
      </c>
      <c r="R25" s="78" t="str">
        <f t="shared" si="1"/>
        <v/>
      </c>
      <c r="S25" s="78" t="str">
        <f t="shared" si="5"/>
        <v/>
      </c>
      <c r="T25" s="78" t="str">
        <f t="shared" si="6"/>
        <v>-- 客観的自由記載</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milscm_2023_010.azn_202310_base_merge_mml_pc_problem.free_expression_objective IS '客観的自由記載';</v>
      </c>
    </row>
    <row r="26" spans="1:45" s="25" customFormat="1" ht="37.5">
      <c r="A26" s="4"/>
      <c r="B26" s="21">
        <f t="shared" si="2"/>
        <v>14</v>
      </c>
      <c r="C26" s="13" t="s">
        <v>1407</v>
      </c>
      <c r="D26" s="13" t="s">
        <v>1408</v>
      </c>
      <c r="E26" s="7"/>
      <c r="F26" s="7" t="s">
        <v>868</v>
      </c>
      <c r="G26" s="7" t="str">
        <f t="shared" si="3"/>
        <v>text</v>
      </c>
      <c r="H26" s="58"/>
      <c r="I26" s="23"/>
      <c r="J26" s="24" t="s">
        <v>1426</v>
      </c>
      <c r="M26" s="4"/>
      <c r="N26" s="78"/>
      <c r="O26" s="78"/>
      <c r="P26" s="78" t="str">
        <f t="shared" si="4"/>
        <v>,test_result</v>
      </c>
      <c r="Q26" s="78" t="str">
        <f t="shared" si="0"/>
        <v>TEXT</v>
      </c>
      <c r="R26" s="78" t="str">
        <f t="shared" si="1"/>
        <v/>
      </c>
      <c r="S26" s="78" t="str">
        <f t="shared" si="5"/>
        <v/>
      </c>
      <c r="T26" s="78" t="str">
        <f t="shared" si="6"/>
        <v>-- 検査結果</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milscm_2023_010.azn_202310_base_merge_mml_pc_problem.test_result IS '検査結果';</v>
      </c>
    </row>
    <row r="27" spans="1:45" s="25" customFormat="1" ht="37.5">
      <c r="A27" s="4"/>
      <c r="B27" s="21">
        <f t="shared" si="2"/>
        <v>15</v>
      </c>
      <c r="C27" s="13" t="s">
        <v>1409</v>
      </c>
      <c r="D27" s="13" t="s">
        <v>1410</v>
      </c>
      <c r="E27" s="7"/>
      <c r="F27" s="7" t="s">
        <v>868</v>
      </c>
      <c r="G27" s="7" t="str">
        <f t="shared" si="3"/>
        <v>text</v>
      </c>
      <c r="H27" s="58"/>
      <c r="I27" s="23"/>
      <c r="J27" s="24" t="s">
        <v>1427</v>
      </c>
      <c r="M27" s="4"/>
      <c r="N27" s="78"/>
      <c r="O27" s="78"/>
      <c r="P27" s="78" t="str">
        <f t="shared" si="4"/>
        <v>,shohou_jisshi_kiroku</v>
      </c>
      <c r="Q27" s="78" t="str">
        <f t="shared" si="0"/>
        <v>TEXT</v>
      </c>
      <c r="R27" s="78" t="str">
        <f t="shared" si="1"/>
        <v/>
      </c>
      <c r="S27" s="78" t="str">
        <f t="shared" si="5"/>
        <v/>
      </c>
      <c r="T27" s="78" t="str">
        <f t="shared" si="6"/>
        <v>-- 処方実施記録</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milscm_2023_010.azn_202310_base_merge_mml_pc_problem.shohou_jisshi_kiroku IS '処方実施記録';</v>
      </c>
    </row>
    <row r="28" spans="1:45" s="25" customFormat="1" ht="37.5">
      <c r="A28" s="4"/>
      <c r="B28" s="21">
        <f t="shared" si="2"/>
        <v>16</v>
      </c>
      <c r="C28" s="13" t="s">
        <v>1411</v>
      </c>
      <c r="D28" s="13" t="s">
        <v>1412</v>
      </c>
      <c r="E28" s="7"/>
      <c r="F28" s="7" t="s">
        <v>868</v>
      </c>
      <c r="G28" s="7" t="str">
        <f t="shared" si="3"/>
        <v>text</v>
      </c>
      <c r="H28" s="58"/>
      <c r="I28" s="23"/>
      <c r="J28" s="24" t="s">
        <v>1428</v>
      </c>
      <c r="M28" s="4"/>
      <c r="N28" s="78"/>
      <c r="O28" s="78"/>
      <c r="P28" s="78" t="str">
        <f t="shared" si="4"/>
        <v>,shochi_jisshi_kiroku</v>
      </c>
      <c r="Q28" s="78" t="str">
        <f t="shared" si="0"/>
        <v>TEXT</v>
      </c>
      <c r="R28" s="78" t="str">
        <f t="shared" si="1"/>
        <v/>
      </c>
      <c r="S28" s="78" t="str">
        <f t="shared" si="5"/>
        <v/>
      </c>
      <c r="T28" s="78" t="str">
        <f t="shared" si="6"/>
        <v>-- 処置実施記録</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milscm_2023_010.azn_202310_base_merge_mml_pc_problem.shochi_jisshi_kiroku IS '処置実施記録';</v>
      </c>
    </row>
    <row r="29" spans="1:45" s="25" customFormat="1" ht="37.5">
      <c r="A29" s="4"/>
      <c r="B29" s="21">
        <f t="shared" si="2"/>
        <v>17</v>
      </c>
      <c r="C29" s="13" t="s">
        <v>1413</v>
      </c>
      <c r="D29" s="13" t="s">
        <v>1414</v>
      </c>
      <c r="E29" s="7"/>
      <c r="F29" s="7" t="s">
        <v>868</v>
      </c>
      <c r="G29" s="7" t="str">
        <f t="shared" si="3"/>
        <v>text</v>
      </c>
      <c r="H29" s="58"/>
      <c r="I29" s="23"/>
      <c r="J29" s="24" t="s">
        <v>1429</v>
      </c>
      <c r="M29" s="4"/>
      <c r="N29" s="78"/>
      <c r="O29" s="78"/>
      <c r="P29" s="78" t="str">
        <f t="shared" si="4"/>
        <v>,kensa_order</v>
      </c>
      <c r="Q29" s="78" t="str">
        <f t="shared" si="0"/>
        <v>TEXT</v>
      </c>
      <c r="R29" s="78" t="str">
        <f t="shared" si="1"/>
        <v/>
      </c>
      <c r="S29" s="78" t="str">
        <f t="shared" si="5"/>
        <v/>
      </c>
      <c r="T29" s="78" t="str">
        <f t="shared" si="6"/>
        <v>-- 検査オーダー</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milscm_2023_010.azn_202310_base_merge_mml_pc_problem.kensa_order IS '検査オーダー';</v>
      </c>
    </row>
    <row r="30" spans="1:45" s="25" customFormat="1" ht="37.5">
      <c r="A30" s="4"/>
      <c r="B30" s="21">
        <f t="shared" si="2"/>
        <v>18</v>
      </c>
      <c r="C30" s="13" t="s">
        <v>1415</v>
      </c>
      <c r="D30" s="13" t="s">
        <v>1416</v>
      </c>
      <c r="E30" s="7"/>
      <c r="F30" s="7" t="s">
        <v>868</v>
      </c>
      <c r="G30" s="7" t="str">
        <f t="shared" si="3"/>
        <v>text</v>
      </c>
      <c r="H30" s="58"/>
      <c r="I30" s="23"/>
      <c r="J30" s="24" t="s">
        <v>1430</v>
      </c>
      <c r="M30" s="4"/>
      <c r="N30" s="78"/>
      <c r="O30" s="78"/>
      <c r="P30" s="78" t="str">
        <f t="shared" si="4"/>
        <v>,shohou_order</v>
      </c>
      <c r="Q30" s="78" t="str">
        <f t="shared" si="0"/>
        <v>TEXT</v>
      </c>
      <c r="R30" s="78" t="str">
        <f t="shared" si="1"/>
        <v/>
      </c>
      <c r="S30" s="78" t="str">
        <f t="shared" si="5"/>
        <v/>
      </c>
      <c r="T30" s="78" t="str">
        <f t="shared" si="6"/>
        <v>-- 処方オーダー</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milscm_2023_010.azn_202310_base_merge_mml_pc_problem.shohou_order IS '処方オーダー';</v>
      </c>
    </row>
    <row r="31" spans="1:45" s="25" customFormat="1" ht="37.5">
      <c r="A31" s="4"/>
      <c r="B31" s="21">
        <f t="shared" si="2"/>
        <v>19</v>
      </c>
      <c r="C31" s="13" t="s">
        <v>1417</v>
      </c>
      <c r="D31" s="13" t="s">
        <v>1418</v>
      </c>
      <c r="E31" s="7"/>
      <c r="F31" s="7" t="s">
        <v>868</v>
      </c>
      <c r="G31" s="7" t="str">
        <f t="shared" si="3"/>
        <v>text</v>
      </c>
      <c r="H31" s="58"/>
      <c r="I31" s="23"/>
      <c r="J31" s="24" t="s">
        <v>1431</v>
      </c>
      <c r="M31" s="4"/>
      <c r="N31" s="78"/>
      <c r="O31" s="78"/>
      <c r="P31" s="78" t="str">
        <f t="shared" si="4"/>
        <v>,chiryo_order</v>
      </c>
      <c r="Q31" s="78" t="str">
        <f t="shared" si="0"/>
        <v>TEXT</v>
      </c>
      <c r="R31" s="78" t="str">
        <f t="shared" si="1"/>
        <v/>
      </c>
      <c r="S31" s="78" t="str">
        <f t="shared" si="5"/>
        <v/>
      </c>
      <c r="T31" s="78" t="str">
        <f t="shared" si="6"/>
        <v>-- 治療処置オーダー</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milscm_2023_010.azn_202310_base_merge_mml_pc_problem.chiryo_order IS '治療処置オーダー';</v>
      </c>
    </row>
    <row r="32" spans="1:45" s="25" customFormat="1" ht="38.25" thickBot="1">
      <c r="A32" s="4"/>
      <c r="B32" s="27">
        <f>ROW()-12</f>
        <v>20</v>
      </c>
      <c r="C32" s="57" t="s">
        <v>1419</v>
      </c>
      <c r="D32" s="57" t="s">
        <v>1420</v>
      </c>
      <c r="E32" s="56"/>
      <c r="F32" s="56" t="s">
        <v>868</v>
      </c>
      <c r="G32" s="56" t="str">
        <f t="shared" si="3"/>
        <v>text</v>
      </c>
      <c r="H32" s="59"/>
      <c r="I32" s="60"/>
      <c r="J32" s="64" t="s">
        <v>1432</v>
      </c>
      <c r="N32" s="78"/>
      <c r="O32" s="78"/>
      <c r="P32" s="78" t="str">
        <f t="shared" si="4"/>
        <v>,free_expression_plan</v>
      </c>
      <c r="Q32" s="78" t="str">
        <f t="shared" si="0"/>
        <v>TEXT</v>
      </c>
      <c r="R32" s="78" t="str">
        <f t="shared" si="1"/>
        <v/>
      </c>
      <c r="S32" s="78" t="str">
        <f t="shared" si="5"/>
        <v/>
      </c>
      <c r="T32" s="78" t="str">
        <f t="shared" si="6"/>
        <v>-- 方針自由記載</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milscm_2023_010.azn_202310_base_merge_mml_pc_problem.free_expression_plan IS '方針自由記載';</v>
      </c>
    </row>
    <row r="33" spans="12:52">
      <c r="L33" s="25"/>
      <c r="M33" s="25"/>
      <c r="N33" s="78" t="s">
        <v>142</v>
      </c>
      <c r="O33" s="78"/>
      <c r="P33" s="78"/>
      <c r="Q33" s="78"/>
      <c r="R33" s="78"/>
      <c r="S33" s="78"/>
      <c r="T33" s="78"/>
      <c r="V33" s="25"/>
      <c r="W33" s="25"/>
      <c r="X33" s="25"/>
      <c r="Y33" s="25"/>
      <c r="Z33" s="25"/>
      <c r="AJ33" s="78"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900-000000000000}"/>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ENT_31_20</v>
      </c>
      <c r="E6" s="239"/>
      <c r="F6" s="239"/>
      <c r="G6" s="239"/>
      <c r="H6" s="239"/>
      <c r="I6" s="239"/>
      <c r="J6" s="240"/>
    </row>
    <row r="7" spans="1:45">
      <c r="B7" s="228" t="s">
        <v>115</v>
      </c>
      <c r="C7" s="229"/>
      <c r="D7" s="230" t="s">
        <v>3733</v>
      </c>
      <c r="E7" s="231"/>
      <c r="F7" s="231"/>
      <c r="G7" s="231"/>
      <c r="H7" s="231"/>
      <c r="I7" s="231"/>
      <c r="J7" s="232"/>
    </row>
    <row r="8" spans="1:45">
      <c r="B8" s="228" t="s">
        <v>116</v>
      </c>
      <c r="C8" s="229"/>
      <c r="D8" s="230" t="str">
        <f>エンティティ一覧!AE2&amp;"_"&amp;D5&amp;"_merge_mml_pc_physical_exam"</f>
        <v>azn_202310_base_merge_mml_pc_physical_exam</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milscm_2023_010.azn_202310_base_merge_mml_pc_physical_exam;</v>
      </c>
      <c r="O10" s="78"/>
      <c r="P10" s="78"/>
      <c r="Q10" s="78"/>
      <c r="R10" s="78"/>
      <c r="S10" s="78"/>
      <c r="T10" s="78"/>
      <c r="AJ10" s="78" t="str">
        <f>"ALTER TABLE ONLY "&amp;エンティティ一覧!$O$2&amp;"."&amp;D$8</f>
        <v>ALTER TABLE ONLY milscm_2023_010.azn_202310_base_merge_mml_pc_physical_exam</v>
      </c>
      <c r="AS10" s="78" t="str">
        <f>"ALTER TABLE "&amp;エンティティ一覧!$O$2&amp;"."&amp;D$8&amp;" OWNER TO pgmisgrp1;"</f>
        <v>ALTER TABLE milscm_2023_010.azn_202310_base_merge_mml_pc_physical_exam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milscm_2023_010.azn_202310_base_merge_mml_pc_physical_exam</v>
      </c>
      <c r="O11" s="78"/>
      <c r="P11" s="78"/>
      <c r="Q11" s="78"/>
      <c r="R11" s="78"/>
      <c r="S11" s="78"/>
      <c r="T11" s="78"/>
      <c r="AJ11" s="78" t="str">
        <f>"ADD CONSTRAINT "&amp;D$8&amp;"_pkey PRIMARY KEY"</f>
        <v>ADD CONSTRAINT azn_202310_base_merge_mml_pc_physical_exam_pkey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milscm_2023_010.azn_202310_base_merge_mml_pc_physical_exam IS 'ベース_経過記録情報モジュール_身体所見レコード';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milscm_2023_010.azn_202310_base_merge_mml_pc_physical_exam.torikomi_ym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milscm_2023_010.azn_202310_base_merge_mml_pc_physical_exam.mil_karute_id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milscm_2023_010.azn_202310_base_merge_mml_pc_physical_exam.facility_id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milscm_2023_010.azn_202310_base_merge_mml_pc_physical_exam.shinryo_ymd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milscm_2023_010.azn_202310_base_merge_mml_pc_physical_exam.data_type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milscm_2023_010.azn_202310_base_merge_mml_pc_physical_exam.master_id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milscm_2023_010.azn_202310_base_merge_mml_pc_physical_exam.uid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milscm_2023_010.azn_202310_base_merge_mml_pc_physical_exam.keika_seq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milscm_2023_010.azn_202310_base_merge_mml_pc_physical_exam.problem_seq IS 'プロブレムSEQ';</v>
      </c>
    </row>
    <row r="22" spans="1:52" s="25" customFormat="1">
      <c r="A22" s="4"/>
      <c r="B22" s="21">
        <f t="shared" si="2"/>
        <v>10</v>
      </c>
      <c r="C22" s="13" t="s">
        <v>1435</v>
      </c>
      <c r="D22" s="13" t="s">
        <v>1436</v>
      </c>
      <c r="E22" s="7" t="s">
        <v>127</v>
      </c>
      <c r="F22" s="7" t="s">
        <v>205</v>
      </c>
      <c r="G22" s="7" t="str">
        <f t="shared" si="3"/>
        <v>integer</v>
      </c>
      <c r="H22" s="58"/>
      <c r="I22" s="23" t="s">
        <v>127</v>
      </c>
      <c r="J22" s="24" t="s">
        <v>1443</v>
      </c>
      <c r="M22" s="4"/>
      <c r="N22" s="78"/>
      <c r="O22" s="78"/>
      <c r="P22" s="78" t="str">
        <f t="shared" si="4"/>
        <v>,syoken_seq</v>
      </c>
      <c r="Q22" s="78" t="str">
        <f t="shared" si="0"/>
        <v>INTEGER</v>
      </c>
      <c r="R22" s="78" t="str">
        <f t="shared" si="1"/>
        <v/>
      </c>
      <c r="S22" s="78" t="str">
        <f t="shared" si="5"/>
        <v>NOT NULL</v>
      </c>
      <c r="T22" s="78" t="str">
        <f t="shared" si="6"/>
        <v>-- 身体所見SEQ</v>
      </c>
      <c r="U22" s="4"/>
      <c r="AA22" s="4"/>
      <c r="AB22" s="4"/>
      <c r="AC22" s="4"/>
      <c r="AD22" s="4"/>
      <c r="AE22" s="4"/>
      <c r="AF22" s="4"/>
      <c r="AG22" s="4"/>
      <c r="AH22" s="4"/>
      <c r="AI22" s="4"/>
      <c r="AJ22" s="78" t="str">
        <f>IF(E22="○",IF(COUNTA(E$13:E22)=1,"",",")&amp;D22,"")</f>
        <v>,syoken_seq</v>
      </c>
      <c r="AK22" s="4"/>
      <c r="AL22" s="4"/>
      <c r="AM22" s="4"/>
      <c r="AN22" s="4"/>
      <c r="AO22" s="4"/>
      <c r="AP22" s="4"/>
      <c r="AQ22" s="4"/>
      <c r="AR22" s="4"/>
      <c r="AS22" s="78" t="str">
        <f>"COMMENT ON COLUMN "&amp;エンティティ一覧!$O$2&amp;"."&amp;D$8&amp;"."&amp;D22&amp;" IS '"&amp;C22&amp;"';"</f>
        <v>COMMENT ON COLUMN milscm_2023_010.azn_202310_base_merge_mml_pc_physical_exam.syoken_seq IS '身体所見SEQ';</v>
      </c>
    </row>
    <row r="23" spans="1:52" s="25" customFormat="1">
      <c r="A23" s="4"/>
      <c r="B23" s="21">
        <f t="shared" si="2"/>
        <v>11</v>
      </c>
      <c r="C23" s="13" t="s">
        <v>1437</v>
      </c>
      <c r="D23" s="13" t="s">
        <v>1438</v>
      </c>
      <c r="E23" s="7"/>
      <c r="F23" s="7" t="s">
        <v>868</v>
      </c>
      <c r="G23" s="7" t="str">
        <f t="shared" si="3"/>
        <v>text</v>
      </c>
      <c r="H23" s="58"/>
      <c r="I23" s="23"/>
      <c r="J23" s="24" t="s">
        <v>1444</v>
      </c>
      <c r="M23" s="4"/>
      <c r="N23" s="78"/>
      <c r="O23" s="78"/>
      <c r="P23" s="78" t="str">
        <f t="shared" si="4"/>
        <v>,syoken_item_name</v>
      </c>
      <c r="Q23" s="78" t="str">
        <f t="shared" si="0"/>
        <v>TEXT</v>
      </c>
      <c r="R23" s="78" t="str">
        <f t="shared" si="1"/>
        <v/>
      </c>
      <c r="S23" s="78" t="str">
        <f t="shared" si="5"/>
        <v/>
      </c>
      <c r="T23" s="78" t="str">
        <f t="shared" si="6"/>
        <v>-- 所見項目名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milscm_2023_010.azn_202310_base_merge_mml_pc_physical_exam.syoken_item_name IS '所見項目名';</v>
      </c>
    </row>
    <row r="24" spans="1:52" s="25" customFormat="1">
      <c r="A24" s="4"/>
      <c r="B24" s="21">
        <f t="shared" si="2"/>
        <v>12</v>
      </c>
      <c r="C24" s="13" t="s">
        <v>1439</v>
      </c>
      <c r="D24" s="13" t="s">
        <v>1440</v>
      </c>
      <c r="E24" s="7"/>
      <c r="F24" s="7" t="s">
        <v>868</v>
      </c>
      <c r="G24" s="7" t="str">
        <f t="shared" si="3"/>
        <v>text</v>
      </c>
      <c r="H24" s="58"/>
      <c r="I24" s="23"/>
      <c r="J24" s="24" t="s">
        <v>1445</v>
      </c>
      <c r="M24" s="4"/>
      <c r="N24" s="78"/>
      <c r="O24" s="78"/>
      <c r="P24" s="78" t="str">
        <f t="shared" si="4"/>
        <v>,syoken_value</v>
      </c>
      <c r="Q24" s="78" t="str">
        <f t="shared" si="0"/>
        <v>TEXT</v>
      </c>
      <c r="R24" s="78" t="str">
        <f t="shared" si="1"/>
        <v/>
      </c>
      <c r="S24" s="78" t="str">
        <f t="shared" si="5"/>
        <v/>
      </c>
      <c r="T24" s="78" t="str">
        <f t="shared" si="6"/>
        <v>-- 身体所見結果</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milscm_2023_010.azn_202310_base_merge_mml_pc_physical_exam.syoken_value IS '身体所見結果';</v>
      </c>
    </row>
    <row r="25" spans="1:52" s="25" customFormat="1" ht="38.25" thickBot="1">
      <c r="A25" s="4"/>
      <c r="B25" s="27">
        <f>ROW()-12</f>
        <v>13</v>
      </c>
      <c r="C25" s="57" t="s">
        <v>1441</v>
      </c>
      <c r="D25" s="57" t="s">
        <v>1442</v>
      </c>
      <c r="E25" s="56"/>
      <c r="F25" s="56" t="s">
        <v>868</v>
      </c>
      <c r="G25" s="56" t="str">
        <f t="shared" si="3"/>
        <v>text</v>
      </c>
      <c r="H25" s="59"/>
      <c r="I25" s="60"/>
      <c r="J25" s="64" t="s">
        <v>1446</v>
      </c>
      <c r="N25" s="78"/>
      <c r="O25" s="78"/>
      <c r="P25" s="78" t="str">
        <f t="shared" si="4"/>
        <v>,syoken_value_kaishaku</v>
      </c>
      <c r="Q25" s="78" t="str">
        <f t="shared" si="0"/>
        <v>TEXT</v>
      </c>
      <c r="R25" s="78" t="str">
        <f t="shared" si="1"/>
        <v/>
      </c>
      <c r="S25" s="78" t="str">
        <f t="shared" si="5"/>
        <v/>
      </c>
      <c r="T25" s="78" t="str">
        <f t="shared" si="6"/>
        <v>-- 身体所見結果解釈</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milscm_2023_010.azn_202310_base_merge_mml_pc_physical_exam.syoken_value_kaishaku IS '身体所見結果解釈';</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A00-000000000000}"/>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ENT_31_21</v>
      </c>
      <c r="E6" s="239"/>
      <c r="F6" s="239"/>
      <c r="G6" s="239"/>
      <c r="H6" s="239"/>
      <c r="I6" s="239"/>
      <c r="J6" s="240"/>
    </row>
    <row r="7" spans="1:45">
      <c r="B7" s="228" t="s">
        <v>115</v>
      </c>
      <c r="C7" s="229"/>
      <c r="D7" s="230" t="s">
        <v>3734</v>
      </c>
      <c r="E7" s="231"/>
      <c r="F7" s="231"/>
      <c r="G7" s="231"/>
      <c r="H7" s="231"/>
      <c r="I7" s="231"/>
      <c r="J7" s="232"/>
    </row>
    <row r="8" spans="1:45">
      <c r="B8" s="228" t="s">
        <v>116</v>
      </c>
      <c r="C8" s="229"/>
      <c r="D8" s="230" t="str">
        <f>エンティティ一覧!AE2&amp;"_"&amp;D5&amp;"_merge_mml_pc_assessment"</f>
        <v>azn_202310_base_merge_mml_pc_assessment</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milscm_2023_010.azn_202310_base_merge_mml_pc_assessment;</v>
      </c>
      <c r="O10" s="78"/>
      <c r="P10" s="78"/>
      <c r="Q10" s="78"/>
      <c r="R10" s="78"/>
      <c r="S10" s="78"/>
      <c r="T10" s="78"/>
      <c r="AJ10" s="78" t="str">
        <f>"ALTER TABLE ONLY "&amp;エンティティ一覧!$O$2&amp;"."&amp;D$8</f>
        <v>ALTER TABLE ONLY milscm_2023_010.azn_202310_base_merge_mml_pc_assessment</v>
      </c>
      <c r="AS10" s="78" t="str">
        <f>"ALTER TABLE "&amp;エンティティ一覧!$O$2&amp;"."&amp;D$8&amp;" OWNER TO pgmisgrp1;"</f>
        <v>ALTER TABLE milscm_2023_010.azn_202310_base_merge_mml_pc_assessment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milscm_2023_010.azn_202310_base_merge_mml_pc_assessment</v>
      </c>
      <c r="O11" s="78"/>
      <c r="P11" s="78"/>
      <c r="Q11" s="78"/>
      <c r="R11" s="78"/>
      <c r="S11" s="78"/>
      <c r="T11" s="78"/>
      <c r="AJ11" s="78" t="str">
        <f>"ADD CONSTRAINT "&amp;D$8&amp;"_pkey PRIMARY KEY"</f>
        <v>ADD CONSTRAINT azn_202310_base_merge_mml_pc_assessment_pkey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milscm_2023_010.azn_202310_base_merge_mml_pc_assessment IS 'ベース_経過記録情報モジュール_アセスメントレコード';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milscm_2023_010.azn_202310_base_merge_mml_pc_assessment.torikomi_ym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milscm_2023_010.azn_202310_base_merge_mml_pc_assessment.mil_karute_id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milscm_2023_010.azn_202310_base_merge_mml_pc_assessment.facility_id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milscm_2023_010.azn_202310_base_merge_mml_pc_assessment.shinryo_ymd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milscm_2023_010.azn_202310_base_merge_mml_pc_assessment.data_type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milscm_2023_010.azn_202310_base_merge_mml_pc_assessment.master_id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milscm_2023_010.azn_202310_base_merge_mml_pc_assessment.uid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milscm_2023_010.azn_202310_base_merge_mml_pc_assessment.keika_seq IS '経過記録SEQ';</v>
      </c>
    </row>
    <row r="21" spans="1:52" s="25" customFormat="1">
      <c r="A21" s="4"/>
      <c r="B21" s="21">
        <f t="shared" si="2"/>
        <v>9</v>
      </c>
      <c r="C21" s="13" t="s">
        <v>1397</v>
      </c>
      <c r="D21" s="13" t="s">
        <v>1398</v>
      </c>
      <c r="E21" s="7" t="s">
        <v>127</v>
      </c>
      <c r="F21" s="7" t="s">
        <v>205</v>
      </c>
      <c r="G21" s="7" t="str">
        <f t="shared" si="3"/>
        <v>integer</v>
      </c>
      <c r="H21" s="58"/>
      <c r="I21" s="23" t="s">
        <v>127</v>
      </c>
      <c r="J21" s="24" t="s">
        <v>1421</v>
      </c>
      <c r="M21" s="4"/>
      <c r="N21" s="78"/>
      <c r="O21" s="78"/>
      <c r="P21" s="78" t="str">
        <f t="shared" si="4"/>
        <v>,problem_seq</v>
      </c>
      <c r="Q21" s="78" t="str">
        <f t="shared" si="0"/>
        <v>INTEGER</v>
      </c>
      <c r="R21" s="78" t="str">
        <f t="shared" si="1"/>
        <v/>
      </c>
      <c r="S21" s="78" t="str">
        <f t="shared" si="5"/>
        <v>NOT NULL</v>
      </c>
      <c r="T21" s="78" t="str">
        <f t="shared" si="6"/>
        <v>-- プロブレムSEQ</v>
      </c>
      <c r="U21" s="4"/>
      <c r="AA21" s="4"/>
      <c r="AB21" s="4"/>
      <c r="AC21" s="4"/>
      <c r="AD21" s="4"/>
      <c r="AE21" s="4"/>
      <c r="AF21" s="4"/>
      <c r="AG21" s="4"/>
      <c r="AH21" s="4"/>
      <c r="AI21" s="4"/>
      <c r="AJ21" s="78" t="str">
        <f>IF(E21="○",IF(COUNTA(E$13:E21)=1,"",",")&amp;D21,"")</f>
        <v>,problem_seq</v>
      </c>
      <c r="AK21" s="4"/>
      <c r="AL21" s="4"/>
      <c r="AM21" s="4"/>
      <c r="AN21" s="4"/>
      <c r="AO21" s="4"/>
      <c r="AP21" s="4"/>
      <c r="AQ21" s="4"/>
      <c r="AR21" s="4"/>
      <c r="AS21" s="78" t="str">
        <f>"COMMENT ON COLUMN "&amp;エンティティ一覧!$O$2&amp;"."&amp;D$8&amp;"."&amp;D21&amp;" IS '"&amp;C21&amp;"';"</f>
        <v>COMMENT ON COLUMN milscm_2023_010.azn_202310_base_merge_mml_pc_assessment.problem_seq IS 'プロブレムSEQ';</v>
      </c>
    </row>
    <row r="22" spans="1:52" s="25" customFormat="1">
      <c r="A22" s="4"/>
      <c r="B22" s="21">
        <f t="shared" si="2"/>
        <v>10</v>
      </c>
      <c r="C22" s="13" t="s">
        <v>1449</v>
      </c>
      <c r="D22" s="13" t="s">
        <v>1450</v>
      </c>
      <c r="E22" s="7" t="s">
        <v>127</v>
      </c>
      <c r="F22" s="7" t="s">
        <v>205</v>
      </c>
      <c r="G22" s="7" t="str">
        <f t="shared" si="3"/>
        <v>integer</v>
      </c>
      <c r="H22" s="58"/>
      <c r="I22" s="23" t="s">
        <v>127</v>
      </c>
      <c r="J22" s="24" t="s">
        <v>1453</v>
      </c>
      <c r="M22" s="4"/>
      <c r="N22" s="78"/>
      <c r="O22" s="78"/>
      <c r="P22" s="78" t="str">
        <f t="shared" si="4"/>
        <v>,assessment_item_seq</v>
      </c>
      <c r="Q22" s="78" t="str">
        <f t="shared" si="0"/>
        <v>INTEGER</v>
      </c>
      <c r="R22" s="78" t="str">
        <f t="shared" si="1"/>
        <v/>
      </c>
      <c r="S22" s="78" t="str">
        <f t="shared" si="5"/>
        <v>NOT NULL</v>
      </c>
      <c r="T22" s="78" t="str">
        <f t="shared" si="6"/>
        <v>-- アセスメントSEQ</v>
      </c>
      <c r="U22" s="4"/>
      <c r="AA22" s="4"/>
      <c r="AB22" s="4"/>
      <c r="AC22" s="4"/>
      <c r="AD22" s="4"/>
      <c r="AE22" s="4"/>
      <c r="AF22" s="4"/>
      <c r="AG22" s="4"/>
      <c r="AH22" s="4"/>
      <c r="AI22" s="4"/>
      <c r="AJ22" s="78" t="str">
        <f>IF(E22="○",IF(COUNTA(E$13:E22)=1,"",",")&amp;D22,"")</f>
        <v>,assessment_item_seq</v>
      </c>
      <c r="AK22" s="4"/>
      <c r="AL22" s="4"/>
      <c r="AM22" s="4"/>
      <c r="AN22" s="4"/>
      <c r="AO22" s="4"/>
      <c r="AP22" s="4"/>
      <c r="AQ22" s="4"/>
      <c r="AR22" s="4"/>
      <c r="AS22" s="78" t="str">
        <f>"COMMENT ON COLUMN "&amp;エンティティ一覧!$O$2&amp;"."&amp;D$8&amp;"."&amp;D22&amp;" IS '"&amp;C22&amp;"';"</f>
        <v>COMMENT ON COLUMN milscm_2023_010.azn_202310_base_merge_mml_pc_assessment.assessment_item_seq IS 'アセスメントSEQ';</v>
      </c>
    </row>
    <row r="23" spans="1:52" s="25" customFormat="1" ht="38.25" thickBot="1">
      <c r="A23" s="4"/>
      <c r="B23" s="27">
        <f>ROW()-12</f>
        <v>11</v>
      </c>
      <c r="C23" s="57" t="s">
        <v>1451</v>
      </c>
      <c r="D23" s="57" t="s">
        <v>1452</v>
      </c>
      <c r="E23" s="56"/>
      <c r="F23" s="56" t="s">
        <v>868</v>
      </c>
      <c r="G23" s="56" t="str">
        <f t="shared" si="3"/>
        <v>text</v>
      </c>
      <c r="H23" s="59"/>
      <c r="I23" s="60"/>
      <c r="J23" s="64" t="s">
        <v>1454</v>
      </c>
      <c r="N23" s="78"/>
      <c r="O23" s="78"/>
      <c r="P23" s="78" t="str">
        <f t="shared" si="4"/>
        <v>,assessment_item</v>
      </c>
      <c r="Q23" s="78" t="str">
        <f t="shared" si="0"/>
        <v>TEXT</v>
      </c>
      <c r="R23" s="78" t="str">
        <f t="shared" si="1"/>
        <v/>
      </c>
      <c r="S23" s="78" t="str">
        <f t="shared" si="5"/>
        <v/>
      </c>
      <c r="T23" s="78" t="str">
        <f t="shared" si="6"/>
        <v>-- アセスメント</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milscm_2023_010.azn_202310_base_merge_mml_pc_assessment.assessment_item IS 'アセスメント';</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B00-000000000000}"/>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AZ49"/>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ENT_31_22</v>
      </c>
      <c r="E6" s="239"/>
      <c r="F6" s="239"/>
      <c r="G6" s="239"/>
      <c r="H6" s="239"/>
      <c r="I6" s="239"/>
      <c r="J6" s="240"/>
    </row>
    <row r="7" spans="1:45">
      <c r="B7" s="228" t="s">
        <v>115</v>
      </c>
      <c r="C7" s="229"/>
      <c r="D7" s="230" t="s">
        <v>3735</v>
      </c>
      <c r="E7" s="231"/>
      <c r="F7" s="231"/>
      <c r="G7" s="231"/>
      <c r="H7" s="231"/>
      <c r="I7" s="231"/>
      <c r="J7" s="232"/>
    </row>
    <row r="8" spans="1:45">
      <c r="B8" s="228" t="s">
        <v>116</v>
      </c>
      <c r="C8" s="229"/>
      <c r="D8" s="230" t="str">
        <f>エンティティ一覧!AE2&amp;"_"&amp;D5&amp;"_merge_mml_pc_external_reference"</f>
        <v>azn_202310_base_merge_mml_pc_external_reference</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milscm_2023_010.azn_202310_base_merge_mml_pc_external_reference;</v>
      </c>
      <c r="O10" s="78"/>
      <c r="P10" s="78"/>
      <c r="Q10" s="78"/>
      <c r="R10" s="78"/>
      <c r="S10" s="78"/>
      <c r="T10" s="78"/>
      <c r="AJ10" s="78" t="str">
        <f>"ALTER TABLE ONLY "&amp;エンティティ一覧!$O$2&amp;"."&amp;D$8</f>
        <v>ALTER TABLE ONLY milscm_2023_010.azn_202310_base_merge_mml_pc_external_reference</v>
      </c>
      <c r="AS10" s="78" t="str">
        <f>"ALTER TABLE "&amp;エンティティ一覧!$O$2&amp;"."&amp;D$8&amp;" OWNER TO pgmisgrp1;"</f>
        <v>ALTER TABLE milscm_2023_010.azn_202310_base_merge_mml_pc_external_reference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milscm_2023_010.azn_202310_base_merge_mml_pc_external_reference</v>
      </c>
      <c r="O11" s="78"/>
      <c r="P11" s="78"/>
      <c r="Q11" s="78"/>
      <c r="R11" s="78"/>
      <c r="S11" s="78"/>
      <c r="T11" s="78"/>
      <c r="AJ11" s="78" t="str">
        <f>"ADD CONSTRAINT "&amp;D$8&amp;"_pkey PRIMARY KEY"</f>
        <v>ADD CONSTRAINT azn_202310_base_merge_mml_pc_external_reference_pkey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milscm_2023_010.azn_202310_base_merge_mml_pc_external_reference IS 'ベース_経過記録情報モジュール_外部参照レコード';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7" si="0">UPPER(G13)</f>
        <v>TEXT</v>
      </c>
      <c r="R13" s="78" t="str">
        <f t="shared" ref="R13:R27"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milscm_2023_010.azn_202310_base_merge_mml_pc_external_reference.torikomi_ym IS '取込年月';</v>
      </c>
    </row>
    <row r="14" spans="1:45" s="25" customFormat="1">
      <c r="A14" s="4"/>
      <c r="B14" s="21">
        <f t="shared" ref="B14:B26" si="2">ROW()-12</f>
        <v>2</v>
      </c>
      <c r="C14" s="6" t="s">
        <v>203</v>
      </c>
      <c r="D14" s="6" t="s">
        <v>204</v>
      </c>
      <c r="E14" s="8"/>
      <c r="F14" s="7" t="s">
        <v>205</v>
      </c>
      <c r="G14" s="7" t="str">
        <f t="shared" ref="G14:G27" si="3">IF(F14="フラグ","boolean",IF(F14="文字列","text",IF(F14="整数","integer",IF(F14="実数","numeric",""))))</f>
        <v>integer</v>
      </c>
      <c r="H14" s="26"/>
      <c r="I14" s="10"/>
      <c r="J14" s="11" t="s">
        <v>1327</v>
      </c>
      <c r="M14" s="4"/>
      <c r="N14" s="78"/>
      <c r="O14" s="78"/>
      <c r="P14" s="78" t="str">
        <f t="shared" ref="P14:P27"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milscm_2023_010.azn_202310_base_merge_mml_pc_external_reference.mil_karute_id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7" si="5">IF(I15="○","NOT NULL","")</f>
        <v>NOT NULL</v>
      </c>
      <c r="T15" s="78" t="str">
        <f t="shared" ref="T15:T27"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milscm_2023_010.azn_202310_base_merge_mml_pc_external_reference.facility_id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milscm_2023_010.azn_202310_base_merge_mml_pc_external_reference.shinryo_ymd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milscm_2023_010.azn_202310_base_merge_mml_pc_external_reference.data_type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milscm_2023_010.azn_202310_base_merge_mml_pc_external_reference.master_id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milscm_2023_010.azn_202310_base_merge_mml_pc_external_reference.uid IS '文書ユニークID';</v>
      </c>
    </row>
    <row r="20" spans="1:52" s="25" customFormat="1" ht="37.5">
      <c r="A20" s="4"/>
      <c r="B20" s="21">
        <f t="shared" si="2"/>
        <v>8</v>
      </c>
      <c r="C20" s="13" t="s">
        <v>1389</v>
      </c>
      <c r="D20" s="13" t="s">
        <v>1390</v>
      </c>
      <c r="E20" s="7" t="s">
        <v>127</v>
      </c>
      <c r="F20" s="7" t="s">
        <v>205</v>
      </c>
      <c r="G20" s="7" t="str">
        <f t="shared" si="3"/>
        <v>integer</v>
      </c>
      <c r="H20" s="58"/>
      <c r="I20" s="23" t="s">
        <v>127</v>
      </c>
      <c r="J20" s="24" t="s">
        <v>1393</v>
      </c>
      <c r="M20" s="4"/>
      <c r="N20" s="78"/>
      <c r="O20" s="78"/>
      <c r="P20" s="78" t="str">
        <f t="shared" si="4"/>
        <v>,keika_seq</v>
      </c>
      <c r="Q20" s="78" t="str">
        <f t="shared" si="0"/>
        <v>INTEGER</v>
      </c>
      <c r="R20" s="78" t="str">
        <f t="shared" si="1"/>
        <v/>
      </c>
      <c r="S20" s="78" t="str">
        <f t="shared" si="5"/>
        <v>NOT NULL</v>
      </c>
      <c r="T20" s="78" t="str">
        <f t="shared" si="6"/>
        <v>-- 経過記録SEQ</v>
      </c>
      <c r="U20" s="4"/>
      <c r="AA20" s="4"/>
      <c r="AB20" s="4"/>
      <c r="AC20" s="4"/>
      <c r="AD20" s="4"/>
      <c r="AE20" s="4"/>
      <c r="AF20" s="4"/>
      <c r="AG20" s="4"/>
      <c r="AH20" s="4"/>
      <c r="AI20" s="4"/>
      <c r="AJ20" s="78" t="str">
        <f>IF(E20="○",IF(COUNTA(E$13:E20)=1,"",",")&amp;D20,"")</f>
        <v>,keika_seq</v>
      </c>
      <c r="AK20" s="4"/>
      <c r="AL20" s="4"/>
      <c r="AM20" s="4"/>
      <c r="AN20" s="4"/>
      <c r="AO20" s="4"/>
      <c r="AP20" s="4"/>
      <c r="AQ20" s="4"/>
      <c r="AR20" s="4"/>
      <c r="AS20" s="78" t="str">
        <f>"COMMENT ON COLUMN "&amp;エンティティ一覧!$O$2&amp;"."&amp;D$8&amp;"."&amp;D20&amp;" IS '"&amp;C20&amp;"';"</f>
        <v>COMMENT ON COLUMN milscm_2023_010.azn_202310_base_merge_mml_pc_external_reference.keika_seq IS '経過記録SEQ';</v>
      </c>
    </row>
    <row r="21" spans="1:52" s="25" customFormat="1" ht="187.5">
      <c r="A21" s="4"/>
      <c r="B21" s="21">
        <f t="shared" si="2"/>
        <v>9</v>
      </c>
      <c r="C21" s="13" t="s">
        <v>1457</v>
      </c>
      <c r="D21" s="13" t="s">
        <v>1458</v>
      </c>
      <c r="E21" s="7" t="s">
        <v>127</v>
      </c>
      <c r="F21" s="7" t="s">
        <v>868</v>
      </c>
      <c r="G21" s="7" t="str">
        <f t="shared" si="3"/>
        <v>text</v>
      </c>
      <c r="H21" s="58"/>
      <c r="I21" s="23" t="s">
        <v>127</v>
      </c>
      <c r="J21" s="24" t="s">
        <v>1471</v>
      </c>
      <c r="M21" s="4"/>
      <c r="N21" s="78"/>
      <c r="O21" s="78"/>
      <c r="P21" s="78" t="str">
        <f t="shared" si="4"/>
        <v>,gaibu_sansyo_moto</v>
      </c>
      <c r="Q21" s="78" t="str">
        <f t="shared" si="0"/>
        <v>TEXT</v>
      </c>
      <c r="R21" s="78" t="str">
        <f t="shared" si="1"/>
        <v/>
      </c>
      <c r="S21" s="78" t="str">
        <f t="shared" si="5"/>
        <v>NOT NULL</v>
      </c>
      <c r="T21" s="78" t="str">
        <f t="shared" si="6"/>
        <v>-- 外部参照元</v>
      </c>
      <c r="U21" s="4"/>
      <c r="AA21" s="4"/>
      <c r="AB21" s="4"/>
      <c r="AC21" s="4"/>
      <c r="AD21" s="4"/>
      <c r="AE21" s="4"/>
      <c r="AF21" s="4"/>
      <c r="AG21" s="4"/>
      <c r="AH21" s="4"/>
      <c r="AI21" s="4"/>
      <c r="AJ21" s="78" t="str">
        <f>IF(E21="○",IF(COUNTA(E$13:E21)=1,"",",")&amp;D21,"")</f>
        <v>,gaibu_sansyo_moto</v>
      </c>
      <c r="AK21" s="4"/>
      <c r="AL21" s="4"/>
      <c r="AM21" s="4"/>
      <c r="AN21" s="4"/>
      <c r="AO21" s="4"/>
      <c r="AP21" s="4"/>
      <c r="AQ21" s="4"/>
      <c r="AR21" s="4"/>
      <c r="AS21" s="78" t="str">
        <f>"COMMENT ON COLUMN "&amp;エンティティ一覧!$O$2&amp;"."&amp;D$8&amp;"."&amp;D21&amp;" IS '"&amp;C21&amp;"';"</f>
        <v>COMMENT ON COLUMN milscm_2023_010.azn_202310_base_merge_mml_pc_external_reference.gaibu_sansyo_moto IS '外部参照元';</v>
      </c>
    </row>
    <row r="22" spans="1:52" s="25" customFormat="1">
      <c r="A22" s="4"/>
      <c r="B22" s="21">
        <f t="shared" si="2"/>
        <v>10</v>
      </c>
      <c r="C22" s="13" t="s">
        <v>1459</v>
      </c>
      <c r="D22" s="13" t="s">
        <v>1460</v>
      </c>
      <c r="E22" s="7" t="s">
        <v>127</v>
      </c>
      <c r="F22" s="7" t="s">
        <v>205</v>
      </c>
      <c r="G22" s="7" t="str">
        <f t="shared" si="3"/>
        <v>integer</v>
      </c>
      <c r="H22" s="58"/>
      <c r="I22" s="23" t="s">
        <v>127</v>
      </c>
      <c r="J22" s="24" t="s">
        <v>1472</v>
      </c>
      <c r="M22" s="4"/>
      <c r="N22" s="78"/>
      <c r="O22" s="78"/>
      <c r="P22" s="78" t="str">
        <f t="shared" si="4"/>
        <v>,gaibu_sansyo_seq</v>
      </c>
      <c r="Q22" s="78" t="str">
        <f t="shared" si="0"/>
        <v>INTEGER</v>
      </c>
      <c r="R22" s="78" t="str">
        <f t="shared" si="1"/>
        <v/>
      </c>
      <c r="S22" s="78" t="str">
        <f t="shared" si="5"/>
        <v>NOT NULL</v>
      </c>
      <c r="T22" s="78" t="str">
        <f t="shared" si="6"/>
        <v>-- 外部参照SEQ</v>
      </c>
      <c r="U22" s="4"/>
      <c r="AA22" s="4"/>
      <c r="AB22" s="4"/>
      <c r="AC22" s="4"/>
      <c r="AD22" s="4"/>
      <c r="AE22" s="4"/>
      <c r="AF22" s="4"/>
      <c r="AG22" s="4"/>
      <c r="AH22" s="4"/>
      <c r="AI22" s="4"/>
      <c r="AJ22" s="78" t="str">
        <f>IF(E22="○",IF(COUNTA(E$13:E22)=1,"",",")&amp;D22,"")</f>
        <v>,gaibu_sansyo_seq</v>
      </c>
      <c r="AK22" s="4"/>
      <c r="AL22" s="4"/>
      <c r="AM22" s="4"/>
      <c r="AN22" s="4"/>
      <c r="AO22" s="4"/>
      <c r="AP22" s="4"/>
      <c r="AQ22" s="4"/>
      <c r="AR22" s="4"/>
      <c r="AS22" s="78" t="str">
        <f>"COMMENT ON COLUMN "&amp;エンティティ一覧!$O$2&amp;"."&amp;D$8&amp;"."&amp;D22&amp;" IS '"&amp;C22&amp;"';"</f>
        <v>COMMENT ON COLUMN milscm_2023_010.azn_202310_base_merge_mml_pc_external_reference.gaibu_sansyo_seq IS '外部参照SEQ';</v>
      </c>
    </row>
    <row r="23" spans="1:52" s="25" customFormat="1">
      <c r="A23" s="4"/>
      <c r="B23" s="21">
        <f t="shared" si="2"/>
        <v>11</v>
      </c>
      <c r="C23" s="13" t="s">
        <v>1461</v>
      </c>
      <c r="D23" s="13" t="s">
        <v>1462</v>
      </c>
      <c r="E23" s="7"/>
      <c r="F23" s="7" t="s">
        <v>868</v>
      </c>
      <c r="G23" s="7" t="str">
        <f t="shared" si="3"/>
        <v>text</v>
      </c>
      <c r="H23" s="58"/>
      <c r="I23" s="23"/>
      <c r="J23" s="24" t="s">
        <v>1473</v>
      </c>
      <c r="M23" s="4"/>
      <c r="N23" s="78"/>
      <c r="O23" s="78"/>
      <c r="P23" s="78" t="str">
        <f t="shared" si="4"/>
        <v>,content_type</v>
      </c>
      <c r="Q23" s="78" t="str">
        <f t="shared" si="0"/>
        <v>TEXT</v>
      </c>
      <c r="R23" s="78" t="str">
        <f t="shared" si="1"/>
        <v/>
      </c>
      <c r="S23" s="78" t="str">
        <f t="shared" si="5"/>
        <v/>
      </c>
      <c r="T23" s="78" t="str">
        <f t="shared" si="6"/>
        <v>-- コンテンツ種別</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milscm_2023_010.azn_202310_base_merge_mml_pc_external_reference.content_type IS 'コンテンツ種別';</v>
      </c>
    </row>
    <row r="24" spans="1:52" s="25" customFormat="1" ht="37.5">
      <c r="A24" s="4"/>
      <c r="B24" s="21">
        <f t="shared" si="2"/>
        <v>12</v>
      </c>
      <c r="C24" s="13" t="s">
        <v>1463</v>
      </c>
      <c r="D24" s="13" t="s">
        <v>1464</v>
      </c>
      <c r="E24" s="7"/>
      <c r="F24" s="7" t="s">
        <v>868</v>
      </c>
      <c r="G24" s="7" t="str">
        <f t="shared" si="3"/>
        <v>text</v>
      </c>
      <c r="H24" s="58"/>
      <c r="I24" s="23"/>
      <c r="J24" s="24" t="s">
        <v>1474</v>
      </c>
      <c r="M24" s="4"/>
      <c r="N24" s="78"/>
      <c r="O24" s="78"/>
      <c r="P24" s="78" t="str">
        <f t="shared" si="4"/>
        <v>,igaku_role</v>
      </c>
      <c r="Q24" s="78" t="str">
        <f t="shared" si="0"/>
        <v>TEXT</v>
      </c>
      <c r="R24" s="78" t="str">
        <f t="shared" si="1"/>
        <v/>
      </c>
      <c r="S24" s="78" t="str">
        <f t="shared" si="5"/>
        <v/>
      </c>
      <c r="T24" s="78" t="str">
        <f t="shared" si="6"/>
        <v>-- 医学的役割</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milscm_2023_010.azn_202310_base_merge_mml_pc_external_reference.igaku_role IS '医学的役割';</v>
      </c>
    </row>
    <row r="25" spans="1:52" s="25" customFormat="1">
      <c r="A25" s="4"/>
      <c r="B25" s="21">
        <f t="shared" si="2"/>
        <v>13</v>
      </c>
      <c r="C25" s="13" t="s">
        <v>1465</v>
      </c>
      <c r="D25" s="13" t="s">
        <v>1466</v>
      </c>
      <c r="E25" s="7"/>
      <c r="F25" s="7" t="s">
        <v>868</v>
      </c>
      <c r="G25" s="7" t="str">
        <f t="shared" si="3"/>
        <v>text</v>
      </c>
      <c r="H25" s="58"/>
      <c r="I25" s="23"/>
      <c r="J25" s="24" t="s">
        <v>1475</v>
      </c>
      <c r="M25" s="4"/>
      <c r="N25" s="78"/>
      <c r="O25" s="78"/>
      <c r="P25" s="78" t="str">
        <f t="shared" si="4"/>
        <v>,gaibu_sansyo_file_name</v>
      </c>
      <c r="Q25" s="78" t="str">
        <f t="shared" si="0"/>
        <v>TEXT</v>
      </c>
      <c r="R25" s="78" t="str">
        <f t="shared" si="1"/>
        <v/>
      </c>
      <c r="S25" s="78" t="str">
        <f t="shared" si="5"/>
        <v/>
      </c>
      <c r="T25" s="78" t="str">
        <f t="shared" si="6"/>
        <v>-- 外部参照ファイル名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milscm_2023_010.azn_202310_base_merge_mml_pc_external_reference.gaibu_sansyo_file_name IS '外部参照ファイル名';</v>
      </c>
    </row>
    <row r="26" spans="1:52" s="25" customFormat="1">
      <c r="A26" s="4"/>
      <c r="B26" s="21">
        <f t="shared" si="2"/>
        <v>14</v>
      </c>
      <c r="C26" s="13" t="s">
        <v>1467</v>
      </c>
      <c r="D26" s="13" t="s">
        <v>1468</v>
      </c>
      <c r="E26" s="7"/>
      <c r="F26" s="7" t="s">
        <v>868</v>
      </c>
      <c r="G26" s="7" t="str">
        <f t="shared" si="3"/>
        <v>text</v>
      </c>
      <c r="H26" s="58"/>
      <c r="I26" s="23"/>
      <c r="J26" s="24" t="s">
        <v>1476</v>
      </c>
      <c r="M26" s="4"/>
      <c r="N26" s="78"/>
      <c r="O26" s="78"/>
      <c r="P26" s="78" t="str">
        <f t="shared" si="4"/>
        <v>,gaibu_sansyo_saki</v>
      </c>
      <c r="Q26" s="78" t="str">
        <f t="shared" si="0"/>
        <v>TEXT</v>
      </c>
      <c r="R26" s="78" t="str">
        <f t="shared" si="1"/>
        <v/>
      </c>
      <c r="S26" s="78" t="str">
        <f t="shared" si="5"/>
        <v/>
      </c>
      <c r="T26" s="78" t="str">
        <f t="shared" si="6"/>
        <v>-- 外部参照先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milscm_2023_010.azn_202310_base_merge_mml_pc_external_reference.gaibu_sansyo_saki IS '外部参照先';</v>
      </c>
    </row>
    <row r="27" spans="1:52" s="25" customFormat="1" ht="19.5" thickBot="1">
      <c r="A27" s="4"/>
      <c r="B27" s="27">
        <f>ROW()-12</f>
        <v>15</v>
      </c>
      <c r="C27" s="57" t="s">
        <v>1469</v>
      </c>
      <c r="D27" s="57" t="s">
        <v>1470</v>
      </c>
      <c r="E27" s="56"/>
      <c r="F27" s="56" t="s">
        <v>868</v>
      </c>
      <c r="G27" s="56" t="str">
        <f t="shared" si="3"/>
        <v>text</v>
      </c>
      <c r="H27" s="59"/>
      <c r="I27" s="60"/>
      <c r="J27" s="64" t="s">
        <v>1477</v>
      </c>
      <c r="N27" s="78"/>
      <c r="O27" s="78"/>
      <c r="P27" s="78" t="str">
        <f t="shared" si="4"/>
        <v>,gaibu_sansyo_naiyo</v>
      </c>
      <c r="Q27" s="78" t="str">
        <f t="shared" si="0"/>
        <v>TEXT</v>
      </c>
      <c r="R27" s="78" t="str">
        <f t="shared" si="1"/>
        <v/>
      </c>
      <c r="S27" s="78" t="str">
        <f t="shared" si="5"/>
        <v/>
      </c>
      <c r="T27" s="78" t="str">
        <f t="shared" si="6"/>
        <v>-- 外部参照内容</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milscm_2023_010.azn_202310_base_merge_mml_pc_external_reference.gaibu_sansyo_naiyo IS '外部参照内容';</v>
      </c>
    </row>
    <row r="28" spans="1:52">
      <c r="L28" s="25"/>
      <c r="M28" s="25"/>
      <c r="N28" s="78" t="s">
        <v>142</v>
      </c>
      <c r="O28" s="78"/>
      <c r="P28" s="78"/>
      <c r="Q28" s="78"/>
      <c r="R28" s="78"/>
      <c r="S28" s="78"/>
      <c r="T28" s="78"/>
      <c r="V28" s="25"/>
      <c r="W28" s="25"/>
      <c r="X28" s="25"/>
      <c r="Y28" s="25"/>
      <c r="Z28" s="25"/>
      <c r="AJ28" s="78"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C00-000000000000}"/>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AZ5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ENT_31_23</v>
      </c>
      <c r="E6" s="239"/>
      <c r="F6" s="239"/>
      <c r="G6" s="239"/>
      <c r="H6" s="239"/>
      <c r="I6" s="239"/>
      <c r="J6" s="240"/>
    </row>
    <row r="7" spans="1:45">
      <c r="B7" s="228" t="s">
        <v>115</v>
      </c>
      <c r="C7" s="229"/>
      <c r="D7" s="230" t="s">
        <v>3736</v>
      </c>
      <c r="E7" s="231"/>
      <c r="F7" s="231"/>
      <c r="G7" s="231"/>
      <c r="H7" s="231"/>
      <c r="I7" s="231"/>
      <c r="J7" s="232"/>
    </row>
    <row r="8" spans="1:45">
      <c r="B8" s="228" t="s">
        <v>116</v>
      </c>
      <c r="C8" s="229"/>
      <c r="D8" s="230" t="str">
        <f>エンティティ一覧!AE2&amp;"_"&amp;D5&amp;"_merge_mml_sm_summary"</f>
        <v>azn_202310_base_merge_mml_sm_summary</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milscm_2023_010.azn_202310_base_merge_mml_sm_summary;</v>
      </c>
      <c r="O10" s="78"/>
      <c r="P10" s="78"/>
      <c r="Q10" s="78"/>
      <c r="R10" s="78"/>
      <c r="S10" s="78"/>
      <c r="T10" s="78"/>
      <c r="AJ10" s="78" t="str">
        <f>"ALTER TABLE ONLY "&amp;エンティティ一覧!$O$2&amp;"."&amp;D$8</f>
        <v>ALTER TABLE ONLY milscm_2023_010.azn_202310_base_merge_mml_sm_summary</v>
      </c>
      <c r="AS10" s="78" t="str">
        <f>"ALTER TABLE "&amp;エンティティ一覧!$O$2&amp;"."&amp;D$8&amp;" OWNER TO pgmisgrp1;"</f>
        <v>ALTER TABLE milscm_2023_010.azn_202310_base_merge_mml_sm_summary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milscm_2023_010.azn_202310_base_merge_mml_sm_summary</v>
      </c>
      <c r="O11" s="78"/>
      <c r="P11" s="78"/>
      <c r="Q11" s="78"/>
      <c r="R11" s="78"/>
      <c r="S11" s="78"/>
      <c r="T11" s="78"/>
      <c r="AJ11" s="78" t="str">
        <f>"ADD CONSTRAINT "&amp;D$8&amp;"_pkey PRIMARY KEY"</f>
        <v>ADD CONSTRAINT azn_202310_base_merge_mml_sm_summary_pkey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milscm_2023_010.azn_202310_base_merge_mml_sm_summary IS 'ベース_臨床サマリーモジュール_臨床サマリー情報レコード';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3" si="0">UPPER(G13)</f>
        <v>TEXT</v>
      </c>
      <c r="R13" s="78" t="str">
        <f t="shared" ref="R13:R3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milscm_2023_010.azn_202310_base_merge_mml_sm_summary.torikomi_ym IS '取込年月';</v>
      </c>
    </row>
    <row r="14" spans="1:45" s="25" customFormat="1">
      <c r="A14" s="4"/>
      <c r="B14" s="21">
        <f t="shared" ref="B14:B32" si="2">ROW()-12</f>
        <v>2</v>
      </c>
      <c r="C14" s="6" t="s">
        <v>203</v>
      </c>
      <c r="D14" s="6" t="s">
        <v>204</v>
      </c>
      <c r="E14" s="8"/>
      <c r="F14" s="7" t="s">
        <v>205</v>
      </c>
      <c r="G14" s="7" t="str">
        <f t="shared" ref="G14:G33" si="3">IF(F14="フラグ","boolean",IF(F14="文字列","text",IF(F14="整数","integer",IF(F14="実数","numeric",""))))</f>
        <v>integer</v>
      </c>
      <c r="H14" s="26"/>
      <c r="I14" s="10"/>
      <c r="J14" s="11" t="s">
        <v>1327</v>
      </c>
      <c r="M14" s="4"/>
      <c r="N14" s="78"/>
      <c r="O14" s="78"/>
      <c r="P14" s="78" t="str">
        <f t="shared" ref="P14:P3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milscm_2023_010.azn_202310_base_merge_mml_sm_summary.mil_karute_id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3" si="5">IF(I15="○","NOT NULL","")</f>
        <v>NOT NULL</v>
      </c>
      <c r="T15" s="78" t="str">
        <f t="shared" ref="T15:T3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milscm_2023_010.azn_202310_base_merge_mml_sm_summary.facility_id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milscm_2023_010.azn_202310_base_merge_mml_sm_summary.shinryo_ymd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milscm_2023_010.azn_202310_base_merge_mml_sm_summary.data_type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milscm_2023_010.azn_202310_base_merge_mml_sm_summary.master_id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milscm_2023_010.azn_202310_base_merge_mml_sm_summary.uid IS '文書ユニークID';</v>
      </c>
    </row>
    <row r="20" spans="1:45"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milscm_2023_010.azn_202310_base_merge_mml_sm_summary.summary_seq IS '臨床サマリーSEQ';</v>
      </c>
    </row>
    <row r="21" spans="1:45" s="25" customFormat="1" ht="37.5">
      <c r="A21" s="4"/>
      <c r="B21" s="21">
        <f t="shared" si="2"/>
        <v>9</v>
      </c>
      <c r="C21" s="13" t="s">
        <v>1482</v>
      </c>
      <c r="D21" s="13" t="s">
        <v>1483</v>
      </c>
      <c r="E21" s="7"/>
      <c r="F21" s="7" t="s">
        <v>868</v>
      </c>
      <c r="G21" s="7" t="str">
        <f t="shared" si="3"/>
        <v>text</v>
      </c>
      <c r="H21" s="58"/>
      <c r="I21" s="23"/>
      <c r="J21" s="24" t="s">
        <v>1507</v>
      </c>
      <c r="M21" s="4"/>
      <c r="N21" s="78"/>
      <c r="O21" s="78"/>
      <c r="P21" s="78" t="str">
        <f t="shared" si="4"/>
        <v>,history_start_ymd</v>
      </c>
      <c r="Q21" s="78" t="str">
        <f t="shared" si="0"/>
        <v>TEXT</v>
      </c>
      <c r="R21" s="78" t="str">
        <f t="shared" si="1"/>
        <v/>
      </c>
      <c r="S21" s="78" t="str">
        <f t="shared" si="5"/>
        <v/>
      </c>
      <c r="T21" s="78" t="str">
        <f t="shared" si="6"/>
        <v>-- サマリー対象期間の開始日</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milscm_2023_010.azn_202310_base_merge_mml_sm_summary.history_start_ymd IS 'サマリー対象期間の開始日';</v>
      </c>
    </row>
    <row r="22" spans="1:45" s="25" customFormat="1" ht="37.5">
      <c r="A22" s="4"/>
      <c r="B22" s="21">
        <f t="shared" si="2"/>
        <v>10</v>
      </c>
      <c r="C22" s="13" t="s">
        <v>1484</v>
      </c>
      <c r="D22" s="13" t="s">
        <v>1485</v>
      </c>
      <c r="E22" s="7"/>
      <c r="F22" s="7" t="s">
        <v>868</v>
      </c>
      <c r="G22" s="7" t="str">
        <f t="shared" si="3"/>
        <v>text</v>
      </c>
      <c r="H22" s="58"/>
      <c r="I22" s="23"/>
      <c r="J22" s="24" t="s">
        <v>1508</v>
      </c>
      <c r="M22" s="4"/>
      <c r="N22" s="78"/>
      <c r="O22" s="78"/>
      <c r="P22" s="78" t="str">
        <f t="shared" si="4"/>
        <v>,history_end_ymd</v>
      </c>
      <c r="Q22" s="78" t="str">
        <f t="shared" si="0"/>
        <v>TEXT</v>
      </c>
      <c r="R22" s="78" t="str">
        <f t="shared" si="1"/>
        <v/>
      </c>
      <c r="S22" s="78" t="str">
        <f t="shared" si="5"/>
        <v/>
      </c>
      <c r="T22" s="78" t="str">
        <f t="shared" si="6"/>
        <v>-- サマリー対象期間の終了日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milscm_2023_010.azn_202310_base_merge_mml_sm_summary.history_end_ymd IS 'サマリー対象期間の終了日';</v>
      </c>
    </row>
    <row r="23" spans="1:45" s="25" customFormat="1">
      <c r="A23" s="4"/>
      <c r="B23" s="21">
        <f t="shared" si="2"/>
        <v>11</v>
      </c>
      <c r="C23" s="13" t="s">
        <v>1486</v>
      </c>
      <c r="D23" s="13" t="s">
        <v>1487</v>
      </c>
      <c r="E23" s="7"/>
      <c r="F23" s="7" t="s">
        <v>868</v>
      </c>
      <c r="G23" s="7" t="str">
        <f t="shared" si="3"/>
        <v>text</v>
      </c>
      <c r="H23" s="58"/>
      <c r="I23" s="23"/>
      <c r="J23" s="24" t="s">
        <v>1509</v>
      </c>
      <c r="M23" s="4"/>
      <c r="N23" s="78"/>
      <c r="O23" s="78"/>
      <c r="P23" s="78" t="str">
        <f t="shared" si="4"/>
        <v>,death_info</v>
      </c>
      <c r="Q23" s="78" t="str">
        <f t="shared" si="0"/>
        <v>TEXT</v>
      </c>
      <c r="R23" s="78" t="str">
        <f t="shared" si="1"/>
        <v/>
      </c>
      <c r="S23" s="78" t="str">
        <f t="shared" si="5"/>
        <v/>
      </c>
      <c r="T23" s="78" t="str">
        <f t="shared" si="6"/>
        <v>-- 死亡関連情報</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milscm_2023_010.azn_202310_base_merge_mml_sm_summary.death_info IS '死亡関連情報';</v>
      </c>
    </row>
    <row r="24" spans="1:45" s="25" customFormat="1" ht="37.5">
      <c r="A24" s="4"/>
      <c r="B24" s="21">
        <f t="shared" si="2"/>
        <v>12</v>
      </c>
      <c r="C24" s="13" t="s">
        <v>1325</v>
      </c>
      <c r="D24" s="13" t="s">
        <v>1326</v>
      </c>
      <c r="E24" s="7"/>
      <c r="F24" s="7" t="s">
        <v>868</v>
      </c>
      <c r="G24" s="7" t="str">
        <f t="shared" si="3"/>
        <v>text</v>
      </c>
      <c r="H24" s="58"/>
      <c r="I24" s="23"/>
      <c r="J24" s="24" t="s">
        <v>1510</v>
      </c>
      <c r="M24" s="4"/>
      <c r="N24" s="78"/>
      <c r="O24" s="78"/>
      <c r="P24" s="78" t="str">
        <f t="shared" si="4"/>
        <v>,death_date</v>
      </c>
      <c r="Q24" s="78" t="str">
        <f t="shared" si="0"/>
        <v>TEXT</v>
      </c>
      <c r="R24" s="78" t="str">
        <f t="shared" si="1"/>
        <v/>
      </c>
      <c r="S24" s="78" t="str">
        <f t="shared" si="5"/>
        <v/>
      </c>
      <c r="T24" s="78" t="str">
        <f t="shared" si="6"/>
        <v>-- 死亡日時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milscm_2023_010.azn_202310_base_merge_mml_sm_summary.death_date IS '死亡日時';</v>
      </c>
    </row>
    <row r="25" spans="1:45" s="25" customFormat="1" ht="37.5">
      <c r="A25" s="4"/>
      <c r="B25" s="21">
        <f t="shared" si="2"/>
        <v>13</v>
      </c>
      <c r="C25" s="13" t="s">
        <v>1488</v>
      </c>
      <c r="D25" s="13" t="s">
        <v>1489</v>
      </c>
      <c r="E25" s="7"/>
      <c r="F25" s="7" t="s">
        <v>868</v>
      </c>
      <c r="G25" s="7" t="str">
        <f t="shared" si="3"/>
        <v>text</v>
      </c>
      <c r="H25" s="58"/>
      <c r="I25" s="23"/>
      <c r="J25" s="24" t="s">
        <v>1511</v>
      </c>
      <c r="M25" s="4"/>
      <c r="N25" s="78"/>
      <c r="O25" s="78"/>
      <c r="P25" s="78" t="str">
        <f t="shared" si="4"/>
        <v>,death_autopsy_flag</v>
      </c>
      <c r="Q25" s="78" t="str">
        <f t="shared" si="0"/>
        <v>TEXT</v>
      </c>
      <c r="R25" s="78" t="str">
        <f t="shared" si="1"/>
        <v/>
      </c>
      <c r="S25" s="78" t="str">
        <f t="shared" si="5"/>
        <v/>
      </c>
      <c r="T25" s="78" t="str">
        <f t="shared" si="6"/>
        <v>-- 剖検の有無</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milscm_2023_010.azn_202310_base_merge_mml_sm_summary.death_autopsy_flag IS '剖検の有無';</v>
      </c>
    </row>
    <row r="26" spans="1:45" s="25" customFormat="1" ht="37.5">
      <c r="A26" s="4"/>
      <c r="B26" s="21">
        <f t="shared" si="2"/>
        <v>14</v>
      </c>
      <c r="C26" s="13" t="s">
        <v>1490</v>
      </c>
      <c r="D26" s="13" t="s">
        <v>1491</v>
      </c>
      <c r="E26" s="7"/>
      <c r="F26" s="7" t="s">
        <v>868</v>
      </c>
      <c r="G26" s="7" t="str">
        <f t="shared" si="3"/>
        <v>text</v>
      </c>
      <c r="H26" s="58"/>
      <c r="I26" s="23"/>
      <c r="J26" s="24" t="s">
        <v>1512</v>
      </c>
      <c r="M26" s="4"/>
      <c r="N26" s="78"/>
      <c r="O26" s="78"/>
      <c r="P26" s="78" t="str">
        <f t="shared" si="4"/>
        <v>,chief_complaints</v>
      </c>
      <c r="Q26" s="78" t="str">
        <f t="shared" si="0"/>
        <v>TEXT</v>
      </c>
      <c r="R26" s="78" t="str">
        <f t="shared" si="1"/>
        <v/>
      </c>
      <c r="S26" s="78" t="str">
        <f t="shared" si="5"/>
        <v/>
      </c>
      <c r="T26" s="78" t="str">
        <f t="shared" si="6"/>
        <v>-- 主訴</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milscm_2023_010.azn_202310_base_merge_mml_sm_summary.chief_complaints IS '主訴';</v>
      </c>
    </row>
    <row r="27" spans="1:45" s="25" customFormat="1" ht="37.5">
      <c r="A27" s="4"/>
      <c r="B27" s="21">
        <f t="shared" si="2"/>
        <v>15</v>
      </c>
      <c r="C27" s="13" t="s">
        <v>1492</v>
      </c>
      <c r="D27" s="13" t="s">
        <v>1493</v>
      </c>
      <c r="E27" s="7"/>
      <c r="F27" s="7" t="s">
        <v>868</v>
      </c>
      <c r="G27" s="7" t="str">
        <f t="shared" si="3"/>
        <v>text</v>
      </c>
      <c r="H27" s="58"/>
      <c r="I27" s="23"/>
      <c r="J27" s="24" t="s">
        <v>1513</v>
      </c>
      <c r="M27" s="4"/>
      <c r="N27" s="78"/>
      <c r="O27" s="78"/>
      <c r="P27" s="78" t="str">
        <f t="shared" si="4"/>
        <v>,patient_profile</v>
      </c>
      <c r="Q27" s="78" t="str">
        <f t="shared" si="0"/>
        <v>TEXT</v>
      </c>
      <c r="R27" s="78" t="str">
        <f t="shared" si="1"/>
        <v/>
      </c>
      <c r="S27" s="78" t="str">
        <f t="shared" si="5"/>
        <v/>
      </c>
      <c r="T27" s="78" t="str">
        <f t="shared" si="6"/>
        <v>-- 患者プロフィール</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milscm_2023_010.azn_202310_base_merge_mml_sm_summary.patient_profile IS '患者プロフィール';</v>
      </c>
    </row>
    <row r="28" spans="1:45" s="25" customFormat="1" ht="37.5">
      <c r="A28" s="4"/>
      <c r="B28" s="21">
        <f t="shared" si="2"/>
        <v>16</v>
      </c>
      <c r="C28" s="13" t="s">
        <v>1494</v>
      </c>
      <c r="D28" s="13" t="s">
        <v>1495</v>
      </c>
      <c r="E28" s="7"/>
      <c r="F28" s="7" t="s">
        <v>868</v>
      </c>
      <c r="G28" s="7" t="str">
        <f t="shared" si="3"/>
        <v>text</v>
      </c>
      <c r="H28" s="58"/>
      <c r="I28" s="23"/>
      <c r="J28" s="24" t="s">
        <v>1514</v>
      </c>
      <c r="M28" s="4"/>
      <c r="N28" s="78"/>
      <c r="O28" s="78"/>
      <c r="P28" s="78" t="str">
        <f t="shared" si="4"/>
        <v>,nyuin_history</v>
      </c>
      <c r="Q28" s="78" t="str">
        <f t="shared" si="0"/>
        <v>TEXT</v>
      </c>
      <c r="R28" s="78" t="str">
        <f t="shared" si="1"/>
        <v/>
      </c>
      <c r="S28" s="78" t="str">
        <f t="shared" si="5"/>
        <v/>
      </c>
      <c r="T28" s="78" t="str">
        <f t="shared" si="6"/>
        <v>-- 入院までの経過</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milscm_2023_010.azn_202310_base_merge_mml_sm_summary.nyuin_history IS '入院までの経過';</v>
      </c>
    </row>
    <row r="29" spans="1:45" s="25" customFormat="1" ht="37.5">
      <c r="A29" s="4"/>
      <c r="B29" s="21">
        <f t="shared" si="2"/>
        <v>17</v>
      </c>
      <c r="C29" s="13" t="s">
        <v>1496</v>
      </c>
      <c r="D29" s="13" t="s">
        <v>1497</v>
      </c>
      <c r="E29" s="7"/>
      <c r="F29" s="7" t="s">
        <v>868</v>
      </c>
      <c r="G29" s="7" t="str">
        <f t="shared" si="3"/>
        <v>text</v>
      </c>
      <c r="H29" s="58"/>
      <c r="I29" s="23"/>
      <c r="J29" s="24" t="s">
        <v>1515</v>
      </c>
      <c r="M29" s="4"/>
      <c r="N29" s="78"/>
      <c r="O29" s="78"/>
      <c r="P29" s="78" t="str">
        <f t="shared" si="4"/>
        <v>,nyuin_physical_exam</v>
      </c>
      <c r="Q29" s="78" t="str">
        <f t="shared" si="0"/>
        <v>TEXT</v>
      </c>
      <c r="R29" s="78" t="str">
        <f t="shared" si="1"/>
        <v/>
      </c>
      <c r="S29" s="78" t="str">
        <f t="shared" si="5"/>
        <v/>
      </c>
      <c r="T29" s="78" t="str">
        <f t="shared" si="6"/>
        <v>-- 入院時理学所見</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milscm_2023_010.azn_202310_base_merge_mml_sm_summary.nyuin_physical_exam IS '入院時理学所見';</v>
      </c>
    </row>
    <row r="30" spans="1:45" s="25" customFormat="1" ht="37.5">
      <c r="A30" s="4"/>
      <c r="B30" s="21">
        <f t="shared" si="2"/>
        <v>18</v>
      </c>
      <c r="C30" s="13" t="s">
        <v>1498</v>
      </c>
      <c r="D30" s="13" t="s">
        <v>1499</v>
      </c>
      <c r="E30" s="7"/>
      <c r="F30" s="7" t="s">
        <v>868</v>
      </c>
      <c r="G30" s="7" t="str">
        <f t="shared" si="3"/>
        <v>text</v>
      </c>
      <c r="H30" s="58"/>
      <c r="I30" s="23"/>
      <c r="J30" s="24" t="s">
        <v>1516</v>
      </c>
      <c r="M30" s="4"/>
      <c r="N30" s="78"/>
      <c r="O30" s="78"/>
      <c r="P30" s="78" t="str">
        <f t="shared" si="4"/>
        <v>,taiin_findings</v>
      </c>
      <c r="Q30" s="78" t="str">
        <f t="shared" si="0"/>
        <v>TEXT</v>
      </c>
      <c r="R30" s="78" t="str">
        <f t="shared" si="1"/>
        <v/>
      </c>
      <c r="S30" s="78" t="str">
        <f t="shared" si="5"/>
        <v/>
      </c>
      <c r="T30" s="78" t="str">
        <f t="shared" si="6"/>
        <v>-- 退院時所見</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milscm_2023_010.azn_202310_base_merge_mml_sm_summary.taiin_findings IS '退院時所見';</v>
      </c>
    </row>
    <row r="31" spans="1:45" s="25" customFormat="1" ht="37.5">
      <c r="A31" s="4"/>
      <c r="B31" s="21">
        <f t="shared" si="2"/>
        <v>19</v>
      </c>
      <c r="C31" s="13" t="s">
        <v>1500</v>
      </c>
      <c r="D31" s="13" t="s">
        <v>1501</v>
      </c>
      <c r="E31" s="7"/>
      <c r="F31" s="7" t="s">
        <v>868</v>
      </c>
      <c r="G31" s="7" t="str">
        <f t="shared" si="3"/>
        <v>text</v>
      </c>
      <c r="H31" s="58"/>
      <c r="I31" s="23"/>
      <c r="J31" s="24" t="s">
        <v>1517</v>
      </c>
      <c r="M31" s="4"/>
      <c r="N31" s="78"/>
      <c r="O31" s="78"/>
      <c r="P31" s="78" t="str">
        <f t="shared" si="4"/>
        <v>,taiin_medication</v>
      </c>
      <c r="Q31" s="78" t="str">
        <f t="shared" si="0"/>
        <v>TEXT</v>
      </c>
      <c r="R31" s="78" t="str">
        <f t="shared" si="1"/>
        <v/>
      </c>
      <c r="S31" s="78" t="str">
        <f t="shared" si="5"/>
        <v/>
      </c>
      <c r="T31" s="78" t="str">
        <f t="shared" si="6"/>
        <v>-- 退院時処方</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milscm_2023_010.azn_202310_base_merge_mml_sm_summary.taiin_medication IS '退院時処方';</v>
      </c>
    </row>
    <row r="32" spans="1:45" s="25" customFormat="1" ht="37.5">
      <c r="A32" s="4"/>
      <c r="B32" s="21">
        <f t="shared" si="2"/>
        <v>20</v>
      </c>
      <c r="C32" s="13" t="s">
        <v>1502</v>
      </c>
      <c r="D32" s="13" t="s">
        <v>1503</v>
      </c>
      <c r="E32" s="7"/>
      <c r="F32" s="7" t="s">
        <v>868</v>
      </c>
      <c r="G32" s="7" t="str">
        <f t="shared" si="3"/>
        <v>text</v>
      </c>
      <c r="H32" s="58"/>
      <c r="I32" s="23"/>
      <c r="J32" s="24" t="s">
        <v>1518</v>
      </c>
      <c r="M32" s="4"/>
      <c r="N32" s="78"/>
      <c r="O32" s="78"/>
      <c r="P32" s="78" t="str">
        <f t="shared" si="4"/>
        <v>,taiin_chiryo_plan</v>
      </c>
      <c r="Q32" s="78" t="str">
        <f t="shared" si="0"/>
        <v>TEXT</v>
      </c>
      <c r="R32" s="78" t="str">
        <f t="shared" si="1"/>
        <v/>
      </c>
      <c r="S32" s="78" t="str">
        <f t="shared" si="5"/>
        <v/>
      </c>
      <c r="T32" s="78" t="str">
        <f t="shared" si="6"/>
        <v>-- 退院後治療方針</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milscm_2023_010.azn_202310_base_merge_mml_sm_summary.taiin_chiryo_plan IS '退院後治療方針';</v>
      </c>
    </row>
    <row r="33" spans="1:52" s="25" customFormat="1" ht="38.25" thickBot="1">
      <c r="A33" s="4"/>
      <c r="B33" s="27">
        <f>ROW()-12</f>
        <v>21</v>
      </c>
      <c r="C33" s="57" t="s">
        <v>1504</v>
      </c>
      <c r="D33" s="57" t="s">
        <v>1505</v>
      </c>
      <c r="E33" s="56"/>
      <c r="F33" s="56" t="s">
        <v>868</v>
      </c>
      <c r="G33" s="56" t="str">
        <f t="shared" si="3"/>
        <v>text</v>
      </c>
      <c r="H33" s="59"/>
      <c r="I33" s="60"/>
      <c r="J33" s="64" t="s">
        <v>1519</v>
      </c>
      <c r="N33" s="78"/>
      <c r="O33" s="78"/>
      <c r="P33" s="78" t="str">
        <f t="shared" si="4"/>
        <v>,patient_ryui_code</v>
      </c>
      <c r="Q33" s="78" t="str">
        <f t="shared" si="0"/>
        <v>TEXT</v>
      </c>
      <c r="R33" s="78" t="str">
        <f t="shared" si="1"/>
        <v/>
      </c>
      <c r="S33" s="78" t="str">
        <f t="shared" si="5"/>
        <v/>
      </c>
      <c r="T33" s="78" t="str">
        <f t="shared" si="6"/>
        <v>-- 患者に関する留意事項</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milscm_2023_010.azn_202310_base_merge_mml_sm_summary.patient_ryui_code IS '患者に関する留意事項';</v>
      </c>
    </row>
    <row r="34" spans="1:52">
      <c r="L34" s="25"/>
      <c r="M34" s="25"/>
      <c r="N34" s="78" t="s">
        <v>142</v>
      </c>
      <c r="O34" s="78"/>
      <c r="P34" s="78"/>
      <c r="Q34" s="78"/>
      <c r="R34" s="78"/>
      <c r="S34" s="78"/>
      <c r="T34" s="78"/>
      <c r="V34" s="25"/>
      <c r="W34" s="25"/>
      <c r="X34" s="25"/>
      <c r="Y34" s="25"/>
      <c r="Z34" s="25"/>
      <c r="AJ34" s="78"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D00-000000000000}"/>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ENT_31_24</v>
      </c>
      <c r="E6" s="239"/>
      <c r="F6" s="239"/>
      <c r="G6" s="239"/>
      <c r="H6" s="239"/>
      <c r="I6" s="239"/>
      <c r="J6" s="240"/>
    </row>
    <row r="7" spans="1:45">
      <c r="B7" s="228" t="s">
        <v>115</v>
      </c>
      <c r="C7" s="229"/>
      <c r="D7" s="230" t="s">
        <v>3737</v>
      </c>
      <c r="E7" s="231"/>
      <c r="F7" s="231"/>
      <c r="G7" s="231"/>
      <c r="H7" s="231"/>
      <c r="I7" s="231"/>
      <c r="J7" s="232"/>
    </row>
    <row r="8" spans="1:45">
      <c r="B8" s="228" t="s">
        <v>116</v>
      </c>
      <c r="C8" s="229"/>
      <c r="D8" s="230" t="str">
        <f>エンティティ一覧!AE2&amp;"_"&amp;D5&amp;"_merge_mml_sm_out_patient"</f>
        <v>azn_202310_base_merge_mml_sm_out_patient</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milscm_2023_010.azn_202310_base_merge_mml_sm_out_patient;</v>
      </c>
      <c r="O10" s="78"/>
      <c r="P10" s="78"/>
      <c r="Q10" s="78"/>
      <c r="R10" s="78"/>
      <c r="S10" s="78"/>
      <c r="T10" s="78"/>
      <c r="AJ10" s="78" t="str">
        <f>"ALTER TABLE ONLY "&amp;エンティティ一覧!$O$2&amp;"."&amp;D$8</f>
        <v>ALTER TABLE ONLY milscm_2023_010.azn_202310_base_merge_mml_sm_out_patient</v>
      </c>
      <c r="AS10" s="78" t="str">
        <f>"ALTER TABLE "&amp;エンティティ一覧!$O$2&amp;"."&amp;D$8&amp;" OWNER TO pgmisgrp1;"</f>
        <v>ALTER TABLE milscm_2023_010.azn_202310_base_merge_mml_sm_out_patient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milscm_2023_010.azn_202310_base_merge_mml_sm_out_patient</v>
      </c>
      <c r="O11" s="78"/>
      <c r="P11" s="78"/>
      <c r="Q11" s="78"/>
      <c r="R11" s="78"/>
      <c r="S11" s="78"/>
      <c r="T11" s="78"/>
      <c r="AJ11" s="78" t="str">
        <f>"ADD CONSTRAINT "&amp;D$8&amp;"_pkey PRIMARY KEY"</f>
        <v>ADD CONSTRAINT azn_202310_base_merge_mml_sm_out_patient_pkey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milscm_2023_010.azn_202310_base_merge_mml_sm_out_patient IS 'ベース_臨床サマリーモジュール_外来受診レコード';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milscm_2023_010.azn_202310_base_merge_mml_sm_out_patient.torikomi_ym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milscm_2023_010.azn_202310_base_merge_mml_sm_out_patient.mil_karute_id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milscm_2023_010.azn_202310_base_merge_mml_sm_out_patient.facility_id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milscm_2023_010.azn_202310_base_merge_mml_sm_out_patient.shinryo_ymd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milscm_2023_010.azn_202310_base_merge_mml_sm_out_patient.data_type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milscm_2023_010.azn_202310_base_merge_mml_sm_out_patient.master_id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milscm_2023_010.azn_202310_base_merge_mml_sm_out_patient.uid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milscm_2023_010.azn_202310_base_merge_mml_sm_out_patient.summary_seq IS '臨床サマリーSEQ';</v>
      </c>
    </row>
    <row r="21" spans="1:52" s="25" customFormat="1">
      <c r="A21" s="4"/>
      <c r="B21" s="21">
        <f t="shared" si="2"/>
        <v>9</v>
      </c>
      <c r="C21" s="13" t="s">
        <v>1522</v>
      </c>
      <c r="D21" s="13" t="s">
        <v>1523</v>
      </c>
      <c r="E21" s="7" t="s">
        <v>127</v>
      </c>
      <c r="F21" s="7" t="s">
        <v>205</v>
      </c>
      <c r="G21" s="7" t="str">
        <f t="shared" si="3"/>
        <v>integer</v>
      </c>
      <c r="H21" s="58"/>
      <c r="I21" s="23" t="s">
        <v>127</v>
      </c>
      <c r="J21" s="24" t="s">
        <v>1532</v>
      </c>
      <c r="M21" s="4"/>
      <c r="N21" s="78"/>
      <c r="O21" s="78"/>
      <c r="P21" s="78" t="str">
        <f t="shared" si="4"/>
        <v>,gairai_seq</v>
      </c>
      <c r="Q21" s="78" t="str">
        <f t="shared" si="0"/>
        <v>INTEGER</v>
      </c>
      <c r="R21" s="78" t="str">
        <f t="shared" si="1"/>
        <v/>
      </c>
      <c r="S21" s="78" t="str">
        <f t="shared" si="5"/>
        <v>NOT NULL</v>
      </c>
      <c r="T21" s="78" t="str">
        <f t="shared" si="6"/>
        <v>-- 個々の外来受診歴SEQ</v>
      </c>
      <c r="U21" s="4"/>
      <c r="AA21" s="4"/>
      <c r="AB21" s="4"/>
      <c r="AC21" s="4"/>
      <c r="AD21" s="4"/>
      <c r="AE21" s="4"/>
      <c r="AF21" s="4"/>
      <c r="AG21" s="4"/>
      <c r="AH21" s="4"/>
      <c r="AI21" s="4"/>
      <c r="AJ21" s="78" t="str">
        <f>IF(E21="○",IF(COUNTA(E$13:E21)=1,"",",")&amp;D21,"")</f>
        <v>,gairai_seq</v>
      </c>
      <c r="AK21" s="4"/>
      <c r="AL21" s="4"/>
      <c r="AM21" s="4"/>
      <c r="AN21" s="4"/>
      <c r="AO21" s="4"/>
      <c r="AP21" s="4"/>
      <c r="AQ21" s="4"/>
      <c r="AR21" s="4"/>
      <c r="AS21" s="78" t="str">
        <f>"COMMENT ON COLUMN "&amp;エンティティ一覧!$O$2&amp;"."&amp;D$8&amp;"."&amp;D21&amp;" IS '"&amp;C21&amp;"';"</f>
        <v>COMMENT ON COLUMN milscm_2023_010.azn_202310_base_merge_mml_sm_out_patient.gairai_seq IS '個々の外来受診歴SEQ';</v>
      </c>
    </row>
    <row r="22" spans="1:52" s="25" customFormat="1" ht="37.5">
      <c r="A22" s="4"/>
      <c r="B22" s="21">
        <f t="shared" si="2"/>
        <v>10</v>
      </c>
      <c r="C22" s="13" t="s">
        <v>1524</v>
      </c>
      <c r="D22" s="13" t="s">
        <v>1525</v>
      </c>
      <c r="E22" s="7"/>
      <c r="F22" s="7" t="s">
        <v>868</v>
      </c>
      <c r="G22" s="7" t="str">
        <f t="shared" si="3"/>
        <v>text</v>
      </c>
      <c r="H22" s="58"/>
      <c r="I22" s="23"/>
      <c r="J22" s="24" t="s">
        <v>1533</v>
      </c>
      <c r="M22" s="4"/>
      <c r="N22" s="78"/>
      <c r="O22" s="78"/>
      <c r="P22" s="78" t="str">
        <f t="shared" si="4"/>
        <v>,gairai_ymd</v>
      </c>
      <c r="Q22" s="78" t="str">
        <f t="shared" si="0"/>
        <v>TEXT</v>
      </c>
      <c r="R22" s="78" t="str">
        <f t="shared" si="1"/>
        <v/>
      </c>
      <c r="S22" s="78" t="str">
        <f t="shared" si="5"/>
        <v/>
      </c>
      <c r="T22" s="78" t="str">
        <f t="shared" si="6"/>
        <v>-- 外来受診年月日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milscm_2023_010.azn_202310_base_merge_mml_sm_out_patient.gairai_ymd IS '外来受診年月日';</v>
      </c>
    </row>
    <row r="23" spans="1:52" s="25" customFormat="1">
      <c r="A23" s="4"/>
      <c r="B23" s="21">
        <f t="shared" si="2"/>
        <v>11</v>
      </c>
      <c r="C23" s="13" t="s">
        <v>1526</v>
      </c>
      <c r="D23" s="13" t="s">
        <v>1527</v>
      </c>
      <c r="E23" s="7"/>
      <c r="F23" s="7" t="s">
        <v>868</v>
      </c>
      <c r="G23" s="7" t="str">
        <f t="shared" si="3"/>
        <v>text</v>
      </c>
      <c r="H23" s="58"/>
      <c r="I23" s="23"/>
      <c r="J23" s="24" t="s">
        <v>1534</v>
      </c>
      <c r="M23" s="4"/>
      <c r="N23" s="78"/>
      <c r="O23" s="78"/>
      <c r="P23" s="78" t="str">
        <f t="shared" si="4"/>
        <v>,gairai_state</v>
      </c>
      <c r="Q23" s="78" t="str">
        <f t="shared" si="0"/>
        <v>TEXT</v>
      </c>
      <c r="R23" s="78" t="str">
        <f t="shared" si="1"/>
        <v/>
      </c>
      <c r="S23" s="78" t="str">
        <f t="shared" si="5"/>
        <v/>
      </c>
      <c r="T23" s="78" t="str">
        <f t="shared" si="6"/>
        <v>-- 外来受診状態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milscm_2023_010.azn_202310_base_merge_mml_sm_out_patient.gairai_state IS '外来受診状態';</v>
      </c>
    </row>
    <row r="24" spans="1:52" s="25" customFormat="1" ht="37.5">
      <c r="A24" s="4"/>
      <c r="B24" s="21">
        <f t="shared" si="2"/>
        <v>12</v>
      </c>
      <c r="C24" s="13" t="s">
        <v>1528</v>
      </c>
      <c r="D24" s="13" t="s">
        <v>1529</v>
      </c>
      <c r="E24" s="7"/>
      <c r="F24" s="7" t="s">
        <v>868</v>
      </c>
      <c r="G24" s="7" t="str">
        <f t="shared" si="3"/>
        <v>text</v>
      </c>
      <c r="H24" s="58"/>
      <c r="I24" s="23"/>
      <c r="J24" s="24" t="s">
        <v>1535</v>
      </c>
      <c r="M24" s="4"/>
      <c r="N24" s="78"/>
      <c r="O24" s="78"/>
      <c r="P24" s="78" t="str">
        <f t="shared" si="4"/>
        <v>,first_flag</v>
      </c>
      <c r="Q24" s="78" t="str">
        <f t="shared" si="0"/>
        <v>TEXT</v>
      </c>
      <c r="R24" s="78" t="str">
        <f t="shared" si="1"/>
        <v/>
      </c>
      <c r="S24" s="78" t="str">
        <f t="shared" si="5"/>
        <v/>
      </c>
      <c r="T24" s="78" t="str">
        <f t="shared" si="6"/>
        <v>-- 初診フラグ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milscm_2023_010.azn_202310_base_merge_mml_sm_out_patient.first_flag IS '初診フラグ';</v>
      </c>
    </row>
    <row r="25" spans="1:52" s="25" customFormat="1" ht="57" thickBot="1">
      <c r="A25" s="4"/>
      <c r="B25" s="27">
        <f>ROW()-12</f>
        <v>13</v>
      </c>
      <c r="C25" s="57" t="s">
        <v>1530</v>
      </c>
      <c r="D25" s="57" t="s">
        <v>1531</v>
      </c>
      <c r="E25" s="56"/>
      <c r="F25" s="56" t="s">
        <v>868</v>
      </c>
      <c r="G25" s="56" t="str">
        <f t="shared" si="3"/>
        <v>text</v>
      </c>
      <c r="H25" s="59"/>
      <c r="I25" s="60"/>
      <c r="J25" s="64" t="s">
        <v>1536</v>
      </c>
      <c r="N25" s="78"/>
      <c r="O25" s="78"/>
      <c r="P25" s="78" t="str">
        <f t="shared" si="4"/>
        <v>,emergency_flag</v>
      </c>
      <c r="Q25" s="78" t="str">
        <f t="shared" si="0"/>
        <v>TEXT</v>
      </c>
      <c r="R25" s="78" t="str">
        <f t="shared" si="1"/>
        <v/>
      </c>
      <c r="S25" s="78" t="str">
        <f t="shared" si="5"/>
        <v/>
      </c>
      <c r="T25" s="78" t="str">
        <f t="shared" si="6"/>
        <v>-- 救急受診フラグ</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milscm_2023_010.azn_202310_base_merge_mml_sm_out_patient.emergency_flag IS '救急受診フラグ';</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E00-000000000000}"/>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AZ51"/>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ENT_31_25</v>
      </c>
      <c r="E6" s="239"/>
      <c r="F6" s="239"/>
      <c r="G6" s="239"/>
      <c r="H6" s="239"/>
      <c r="I6" s="239"/>
      <c r="J6" s="240"/>
    </row>
    <row r="7" spans="1:45">
      <c r="B7" s="228" t="s">
        <v>115</v>
      </c>
      <c r="C7" s="229"/>
      <c r="D7" s="230" t="s">
        <v>3738</v>
      </c>
      <c r="E7" s="231"/>
      <c r="F7" s="231"/>
      <c r="G7" s="231"/>
      <c r="H7" s="231"/>
      <c r="I7" s="231"/>
      <c r="J7" s="232"/>
    </row>
    <row r="8" spans="1:45">
      <c r="B8" s="228" t="s">
        <v>116</v>
      </c>
      <c r="C8" s="229"/>
      <c r="D8" s="230" t="str">
        <f>エンティティ一覧!AE2&amp;"_"&amp;D5&amp;"_merge_mml_sm_in_patient"</f>
        <v>azn_202310_base_merge_mml_sm_in_patient</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milscm_2023_010.azn_202310_base_merge_mml_sm_in_patient;</v>
      </c>
      <c r="O10" s="78"/>
      <c r="P10" s="78"/>
      <c r="Q10" s="78"/>
      <c r="R10" s="78"/>
      <c r="S10" s="78"/>
      <c r="T10" s="78"/>
      <c r="AJ10" s="78" t="str">
        <f>"ALTER TABLE ONLY "&amp;エンティティ一覧!$O$2&amp;"."&amp;D$8</f>
        <v>ALTER TABLE ONLY milscm_2023_010.azn_202310_base_merge_mml_sm_in_patient</v>
      </c>
      <c r="AS10" s="78" t="str">
        <f>"ALTER TABLE "&amp;エンティティ一覧!$O$2&amp;"."&amp;D$8&amp;" OWNER TO pgmisgrp1;"</f>
        <v>ALTER TABLE milscm_2023_010.azn_202310_base_merge_mml_sm_in_patient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milscm_2023_010.azn_202310_base_merge_mml_sm_in_patient</v>
      </c>
      <c r="O11" s="78"/>
      <c r="P11" s="78"/>
      <c r="Q11" s="78"/>
      <c r="R11" s="78"/>
      <c r="S11" s="78"/>
      <c r="T11" s="78"/>
      <c r="AJ11" s="78" t="str">
        <f>"ADD CONSTRAINT "&amp;D$8&amp;"_pkey PRIMARY KEY"</f>
        <v>ADD CONSTRAINT azn_202310_base_merge_mml_sm_in_patient_pkey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milscm_2023_010.azn_202310_base_merge_mml_sm_in_patient IS 'ベース_臨床サマリーモジュール_入院レコード';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9" si="0">UPPER(G13)</f>
        <v>TEXT</v>
      </c>
      <c r="R13" s="78" t="str">
        <f t="shared" ref="R13:R29"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milscm_2023_010.azn_202310_base_merge_mml_sm_in_patient.torikomi_ym IS '取込年月';</v>
      </c>
    </row>
    <row r="14" spans="1:45" s="25" customFormat="1">
      <c r="A14" s="4"/>
      <c r="B14" s="21">
        <f t="shared" ref="B14:B28" si="2">ROW()-12</f>
        <v>2</v>
      </c>
      <c r="C14" s="6" t="s">
        <v>203</v>
      </c>
      <c r="D14" s="6" t="s">
        <v>204</v>
      </c>
      <c r="E14" s="8"/>
      <c r="F14" s="7" t="s">
        <v>205</v>
      </c>
      <c r="G14" s="7" t="str">
        <f t="shared" ref="G14:G29" si="3">IF(F14="フラグ","boolean",IF(F14="文字列","text",IF(F14="整数","integer",IF(F14="実数","numeric",""))))</f>
        <v>integer</v>
      </c>
      <c r="H14" s="26"/>
      <c r="I14" s="10"/>
      <c r="J14" s="11" t="s">
        <v>1327</v>
      </c>
      <c r="M14" s="4"/>
      <c r="N14" s="78"/>
      <c r="O14" s="78"/>
      <c r="P14" s="78" t="str">
        <f t="shared" ref="P14:P29"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milscm_2023_010.azn_202310_base_merge_mml_sm_in_patient.mil_karute_id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9" si="5">IF(I15="○","NOT NULL","")</f>
        <v>NOT NULL</v>
      </c>
      <c r="T15" s="78" t="str">
        <f t="shared" ref="T15:T29"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milscm_2023_010.azn_202310_base_merge_mml_sm_in_patient.facility_id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milscm_2023_010.azn_202310_base_merge_mml_sm_in_patient.shinryo_ymd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milscm_2023_010.azn_202310_base_merge_mml_sm_in_patient.data_type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milscm_2023_010.azn_202310_base_merge_mml_sm_in_patient.master_id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milscm_2023_010.azn_202310_base_merge_mml_sm_in_patient.uid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milscm_2023_010.azn_202310_base_merge_mml_sm_in_patient.summary_seq IS '臨床サマリーSEQ';</v>
      </c>
    </row>
    <row r="21" spans="1:52" s="25" customFormat="1">
      <c r="A21" s="4"/>
      <c r="B21" s="21">
        <f t="shared" si="2"/>
        <v>9</v>
      </c>
      <c r="C21" s="13" t="s">
        <v>1539</v>
      </c>
      <c r="D21" s="13" t="s">
        <v>1540</v>
      </c>
      <c r="E21" s="7" t="s">
        <v>127</v>
      </c>
      <c r="F21" s="7" t="s">
        <v>205</v>
      </c>
      <c r="G21" s="7" t="str">
        <f t="shared" si="3"/>
        <v>integer</v>
      </c>
      <c r="H21" s="58"/>
      <c r="I21" s="23" t="s">
        <v>127</v>
      </c>
      <c r="J21" s="24" t="s">
        <v>1554</v>
      </c>
      <c r="M21" s="4"/>
      <c r="N21" s="78"/>
      <c r="O21" s="78"/>
      <c r="P21" s="78" t="str">
        <f t="shared" si="4"/>
        <v>,nyuin_seq</v>
      </c>
      <c r="Q21" s="78" t="str">
        <f t="shared" si="0"/>
        <v>INTEGER</v>
      </c>
      <c r="R21" s="78" t="str">
        <f t="shared" si="1"/>
        <v/>
      </c>
      <c r="S21" s="78" t="str">
        <f t="shared" si="5"/>
        <v>NOT NULL</v>
      </c>
      <c r="T21" s="78" t="str">
        <f t="shared" si="6"/>
        <v>-- 個々の入院歴SEQ</v>
      </c>
      <c r="U21" s="4"/>
      <c r="AA21" s="4"/>
      <c r="AB21" s="4"/>
      <c r="AC21" s="4"/>
      <c r="AD21" s="4"/>
      <c r="AE21" s="4"/>
      <c r="AF21" s="4"/>
      <c r="AG21" s="4"/>
      <c r="AH21" s="4"/>
      <c r="AI21" s="4"/>
      <c r="AJ21" s="78" t="str">
        <f>IF(E21="○",IF(COUNTA(E$13:E21)=1,"",",")&amp;D21,"")</f>
        <v>,nyuin_seq</v>
      </c>
      <c r="AK21" s="4"/>
      <c r="AL21" s="4"/>
      <c r="AM21" s="4"/>
      <c r="AN21" s="4"/>
      <c r="AO21" s="4"/>
      <c r="AP21" s="4"/>
      <c r="AQ21" s="4"/>
      <c r="AR21" s="4"/>
      <c r="AS21" s="78" t="str">
        <f>"COMMENT ON COLUMN "&amp;エンティティ一覧!$O$2&amp;"."&amp;D$8&amp;"."&amp;D21&amp;" IS '"&amp;C21&amp;"';"</f>
        <v>COMMENT ON COLUMN milscm_2023_010.azn_202310_base_merge_mml_sm_in_patient.nyuin_seq IS '個々の入院歴SEQ';</v>
      </c>
    </row>
    <row r="22" spans="1:52" s="25" customFormat="1" ht="37.5">
      <c r="A22" s="4"/>
      <c r="B22" s="21">
        <f t="shared" si="2"/>
        <v>10</v>
      </c>
      <c r="C22" s="13" t="s">
        <v>1541</v>
      </c>
      <c r="D22" s="13" t="s">
        <v>156</v>
      </c>
      <c r="E22" s="7"/>
      <c r="F22" s="7" t="s">
        <v>868</v>
      </c>
      <c r="G22" s="7" t="str">
        <f t="shared" si="3"/>
        <v>text</v>
      </c>
      <c r="H22" s="58"/>
      <c r="I22" s="23"/>
      <c r="J22" s="24" t="s">
        <v>1555</v>
      </c>
      <c r="M22" s="4"/>
      <c r="N22" s="78"/>
      <c r="O22" s="78"/>
      <c r="P22" s="78" t="str">
        <f t="shared" si="4"/>
        <v>,nyuin_ymd</v>
      </c>
      <c r="Q22" s="78" t="str">
        <f t="shared" si="0"/>
        <v>TEXT</v>
      </c>
      <c r="R22" s="78" t="str">
        <f t="shared" si="1"/>
        <v/>
      </c>
      <c r="S22" s="78" t="str">
        <f t="shared" si="5"/>
        <v/>
      </c>
      <c r="T22" s="78" t="str">
        <f t="shared" si="6"/>
        <v>-- 入院（転入）日</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milscm_2023_010.azn_202310_base_merge_mml_sm_in_patient.nyuin_ymd IS '入院（転入）日';</v>
      </c>
    </row>
    <row r="23" spans="1:52" s="25" customFormat="1" ht="37.5">
      <c r="A23" s="4"/>
      <c r="B23" s="21">
        <f t="shared" si="2"/>
        <v>11</v>
      </c>
      <c r="C23" s="13" t="s">
        <v>1542</v>
      </c>
      <c r="D23" s="13" t="s">
        <v>1543</v>
      </c>
      <c r="E23" s="7"/>
      <c r="F23" s="7" t="s">
        <v>868</v>
      </c>
      <c r="G23" s="7" t="str">
        <f t="shared" si="3"/>
        <v>text</v>
      </c>
      <c r="H23" s="58"/>
      <c r="I23" s="23"/>
      <c r="J23" s="24" t="s">
        <v>1556</v>
      </c>
      <c r="M23" s="4"/>
      <c r="N23" s="78"/>
      <c r="O23" s="78"/>
      <c r="P23" s="78" t="str">
        <f t="shared" si="4"/>
        <v>,nyuin_state</v>
      </c>
      <c r="Q23" s="78" t="str">
        <f t="shared" si="0"/>
        <v>TEXT</v>
      </c>
      <c r="R23" s="78" t="str">
        <f t="shared" si="1"/>
        <v/>
      </c>
      <c r="S23" s="78" t="str">
        <f t="shared" si="5"/>
        <v/>
      </c>
      <c r="T23" s="78" t="str">
        <f t="shared" si="6"/>
        <v>-- 入院時状態</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milscm_2023_010.azn_202310_base_merge_mml_sm_in_patient.nyuin_state IS '入院時状態';</v>
      </c>
    </row>
    <row r="24" spans="1:52" s="25" customFormat="1" ht="56.25">
      <c r="A24" s="4"/>
      <c r="B24" s="21">
        <f t="shared" si="2"/>
        <v>12</v>
      </c>
      <c r="C24" s="13" t="s">
        <v>1544</v>
      </c>
      <c r="D24" s="13" t="s">
        <v>1545</v>
      </c>
      <c r="E24" s="7"/>
      <c r="F24" s="7" t="s">
        <v>868</v>
      </c>
      <c r="G24" s="7" t="str">
        <f t="shared" si="3"/>
        <v>text</v>
      </c>
      <c r="H24" s="58"/>
      <c r="I24" s="23"/>
      <c r="J24" s="24" t="s">
        <v>1557</v>
      </c>
      <c r="M24" s="4"/>
      <c r="N24" s="78"/>
      <c r="O24" s="78"/>
      <c r="P24" s="78" t="str">
        <f t="shared" si="4"/>
        <v>,emergency_nyuin_flag</v>
      </c>
      <c r="Q24" s="78" t="str">
        <f t="shared" si="0"/>
        <v>TEXT</v>
      </c>
      <c r="R24" s="78" t="str">
        <f t="shared" si="1"/>
        <v/>
      </c>
      <c r="S24" s="78" t="str">
        <f t="shared" si="5"/>
        <v/>
      </c>
      <c r="T24" s="78" t="str">
        <f t="shared" si="6"/>
        <v>-- 緊急入院フラグ</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milscm_2023_010.azn_202310_base_merge_mml_sm_in_patient.emergency_nyuin_flag IS '緊急入院フラグ';</v>
      </c>
    </row>
    <row r="25" spans="1:52" s="25" customFormat="1" ht="93.75">
      <c r="A25" s="4"/>
      <c r="B25" s="21">
        <f t="shared" si="2"/>
        <v>13</v>
      </c>
      <c r="C25" s="13" t="s">
        <v>1546</v>
      </c>
      <c r="D25" s="13" t="s">
        <v>1547</v>
      </c>
      <c r="E25" s="7"/>
      <c r="F25" s="7" t="s">
        <v>868</v>
      </c>
      <c r="G25" s="7" t="str">
        <f t="shared" si="3"/>
        <v>text</v>
      </c>
      <c r="H25" s="58"/>
      <c r="I25" s="23"/>
      <c r="J25" s="24" t="s">
        <v>1562</v>
      </c>
      <c r="M25" s="4"/>
      <c r="N25" s="78"/>
      <c r="O25" s="78"/>
      <c r="P25" s="78" t="str">
        <f t="shared" si="4"/>
        <v>,shokai_moto_facility</v>
      </c>
      <c r="Q25" s="78" t="str">
        <f t="shared" si="0"/>
        <v>TEXT</v>
      </c>
      <c r="R25" s="78" t="str">
        <f t="shared" si="1"/>
        <v/>
      </c>
      <c r="S25" s="78" t="str">
        <f t="shared" si="5"/>
        <v/>
      </c>
      <c r="T25" s="78" t="str">
        <f t="shared" si="6"/>
        <v>-- 紹介元施設</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milscm_2023_010.azn_202310_base_merge_mml_sm_in_patient.shokai_moto_facility IS '紹介元施設';</v>
      </c>
    </row>
    <row r="26" spans="1:52" s="25" customFormat="1" ht="37.5">
      <c r="A26" s="4"/>
      <c r="B26" s="21">
        <f t="shared" si="2"/>
        <v>14</v>
      </c>
      <c r="C26" s="13" t="s">
        <v>1548</v>
      </c>
      <c r="D26" s="13" t="s">
        <v>213</v>
      </c>
      <c r="E26" s="7"/>
      <c r="F26" s="7" t="s">
        <v>868</v>
      </c>
      <c r="G26" s="7" t="str">
        <f t="shared" si="3"/>
        <v>text</v>
      </c>
      <c r="H26" s="58"/>
      <c r="I26" s="23"/>
      <c r="J26" s="24" t="s">
        <v>1558</v>
      </c>
      <c r="M26" s="4"/>
      <c r="N26" s="78"/>
      <c r="O26" s="78"/>
      <c r="P26" s="78" t="str">
        <f t="shared" si="4"/>
        <v>,taiin_ymd</v>
      </c>
      <c r="Q26" s="78" t="str">
        <f t="shared" si="0"/>
        <v>TEXT</v>
      </c>
      <c r="R26" s="78" t="str">
        <f t="shared" si="1"/>
        <v/>
      </c>
      <c r="S26" s="78" t="str">
        <f t="shared" si="5"/>
        <v/>
      </c>
      <c r="T26" s="78" t="str">
        <f t="shared" si="6"/>
        <v>-- 退院（転出）日</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milscm_2023_010.azn_202310_base_merge_mml_sm_in_patient.taiin_ymd IS '退院（転出）日';</v>
      </c>
    </row>
    <row r="27" spans="1:52" s="25" customFormat="1" ht="37.5">
      <c r="A27" s="4"/>
      <c r="B27" s="21">
        <f t="shared" si="2"/>
        <v>15</v>
      </c>
      <c r="C27" s="13" t="s">
        <v>1549</v>
      </c>
      <c r="D27" s="13" t="s">
        <v>1550</v>
      </c>
      <c r="E27" s="7"/>
      <c r="F27" s="7" t="s">
        <v>868</v>
      </c>
      <c r="G27" s="7" t="str">
        <f t="shared" si="3"/>
        <v>text</v>
      </c>
      <c r="H27" s="58"/>
      <c r="I27" s="23"/>
      <c r="J27" s="24" t="s">
        <v>1559</v>
      </c>
      <c r="M27" s="4"/>
      <c r="N27" s="78"/>
      <c r="O27" s="78"/>
      <c r="P27" s="78" t="str">
        <f t="shared" si="4"/>
        <v>,taiin_state</v>
      </c>
      <c r="Q27" s="78" t="str">
        <f t="shared" si="0"/>
        <v>TEXT</v>
      </c>
      <c r="R27" s="78" t="str">
        <f t="shared" si="1"/>
        <v/>
      </c>
      <c r="S27" s="78" t="str">
        <f t="shared" si="5"/>
        <v/>
      </c>
      <c r="T27" s="78" t="str">
        <f t="shared" si="6"/>
        <v>-- 退院時状態</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milscm_2023_010.azn_202310_base_merge_mml_sm_in_patient.taiin_state IS '退院時状態';</v>
      </c>
    </row>
    <row r="28" spans="1:52" s="25" customFormat="1" ht="56.25">
      <c r="A28" s="4"/>
      <c r="B28" s="21">
        <f t="shared" si="2"/>
        <v>16</v>
      </c>
      <c r="C28" s="13" t="s">
        <v>596</v>
      </c>
      <c r="D28" s="13" t="s">
        <v>1551</v>
      </c>
      <c r="E28" s="7"/>
      <c r="F28" s="7" t="s">
        <v>868</v>
      </c>
      <c r="G28" s="7" t="str">
        <f t="shared" si="3"/>
        <v>text</v>
      </c>
      <c r="H28" s="58"/>
      <c r="I28" s="23"/>
      <c r="J28" s="24" t="s">
        <v>1560</v>
      </c>
      <c r="M28" s="4"/>
      <c r="N28" s="78"/>
      <c r="O28" s="78"/>
      <c r="P28" s="78" t="str">
        <f t="shared" si="4"/>
        <v>,taiin_tenki</v>
      </c>
      <c r="Q28" s="78" t="str">
        <f t="shared" si="0"/>
        <v>TEXT</v>
      </c>
      <c r="R28" s="78" t="str">
        <f t="shared" si="1"/>
        <v/>
      </c>
      <c r="S28" s="78" t="str">
        <f t="shared" si="5"/>
        <v/>
      </c>
      <c r="T28" s="78" t="str">
        <f t="shared" si="6"/>
        <v>-- 退院時転帰</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milscm_2023_010.azn_202310_base_merge_mml_sm_in_patient.taiin_tenki IS '退院時転帰';</v>
      </c>
    </row>
    <row r="29" spans="1:52" s="25" customFormat="1" ht="94.5" thickBot="1">
      <c r="A29" s="4"/>
      <c r="B29" s="27">
        <f>ROW()-12</f>
        <v>17</v>
      </c>
      <c r="C29" s="57" t="s">
        <v>1552</v>
      </c>
      <c r="D29" s="57" t="s">
        <v>1553</v>
      </c>
      <c r="E29" s="56"/>
      <c r="F29" s="56" t="s">
        <v>868</v>
      </c>
      <c r="G29" s="56" t="str">
        <f t="shared" si="3"/>
        <v>text</v>
      </c>
      <c r="H29" s="59"/>
      <c r="I29" s="60"/>
      <c r="J29" s="64" t="s">
        <v>1561</v>
      </c>
      <c r="N29" s="78"/>
      <c r="O29" s="78"/>
      <c r="P29" s="78" t="str">
        <f t="shared" si="4"/>
        <v>,shokai_saki_facility</v>
      </c>
      <c r="Q29" s="78" t="str">
        <f t="shared" si="0"/>
        <v>TEXT</v>
      </c>
      <c r="R29" s="78" t="str">
        <f t="shared" si="1"/>
        <v/>
      </c>
      <c r="S29" s="78" t="str">
        <f t="shared" si="5"/>
        <v/>
      </c>
      <c r="T29" s="78" t="str">
        <f t="shared" si="6"/>
        <v>-- 紹介先施設</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milscm_2023_010.azn_202310_base_merge_mml_sm_in_patient.shokai_saki_facility IS '紹介先施設';</v>
      </c>
    </row>
    <row r="30" spans="1:52">
      <c r="L30" s="25"/>
      <c r="M30" s="25"/>
      <c r="N30" s="78" t="s">
        <v>142</v>
      </c>
      <c r="O30" s="78"/>
      <c r="P30" s="78"/>
      <c r="Q30" s="78"/>
      <c r="R30" s="78"/>
      <c r="S30" s="78"/>
      <c r="T30" s="78"/>
      <c r="V30" s="25"/>
      <c r="W30" s="25"/>
      <c r="X30" s="25"/>
      <c r="Y30" s="25"/>
      <c r="Z30" s="25"/>
      <c r="AJ30" s="78"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AF00-000000000000}"/>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AZ47"/>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ENT_31_26</v>
      </c>
      <c r="E6" s="239"/>
      <c r="F6" s="239"/>
      <c r="G6" s="239"/>
      <c r="H6" s="239"/>
      <c r="I6" s="239"/>
      <c r="J6" s="240"/>
    </row>
    <row r="7" spans="1:45">
      <c r="B7" s="228" t="s">
        <v>115</v>
      </c>
      <c r="C7" s="229"/>
      <c r="D7" s="230" t="s">
        <v>3739</v>
      </c>
      <c r="E7" s="231"/>
      <c r="F7" s="231"/>
      <c r="G7" s="231"/>
      <c r="H7" s="231"/>
      <c r="I7" s="231"/>
      <c r="J7" s="232"/>
    </row>
    <row r="8" spans="1:45">
      <c r="B8" s="228" t="s">
        <v>116</v>
      </c>
      <c r="C8" s="229"/>
      <c r="D8" s="230" t="str">
        <f>エンティティ一覧!AE2&amp;"_"&amp;D5&amp;"_merge_mml_sm_clinical_course"</f>
        <v>azn_202310_base_merge_mml_sm_clinical_course</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milscm_2023_010.azn_202310_base_merge_mml_sm_clinical_course;</v>
      </c>
      <c r="O10" s="78"/>
      <c r="P10" s="78"/>
      <c r="Q10" s="78"/>
      <c r="R10" s="78"/>
      <c r="S10" s="78"/>
      <c r="T10" s="78"/>
      <c r="AJ10" s="78" t="str">
        <f>"ALTER TABLE ONLY "&amp;エンティティ一覧!$O$2&amp;"."&amp;D$8</f>
        <v>ALTER TABLE ONLY milscm_2023_010.azn_202310_base_merge_mml_sm_clinical_course</v>
      </c>
      <c r="AS10" s="78" t="str">
        <f>"ALTER TABLE "&amp;エンティティ一覧!$O$2&amp;"."&amp;D$8&amp;" OWNER TO pgmisgrp1;"</f>
        <v>ALTER TABLE milscm_2023_010.azn_202310_base_merge_mml_sm_clinical_course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milscm_2023_010.azn_202310_base_merge_mml_sm_clinical_course</v>
      </c>
      <c r="O11" s="78"/>
      <c r="P11" s="78"/>
      <c r="Q11" s="78"/>
      <c r="R11" s="78"/>
      <c r="S11" s="78"/>
      <c r="T11" s="78"/>
      <c r="AJ11" s="78" t="str">
        <f>"ADD CONSTRAINT "&amp;D$8&amp;"_pkey PRIMARY KEY"</f>
        <v>ADD CONSTRAINT azn_202310_base_merge_mml_sm_clinical_course_pkey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milscm_2023_010.azn_202310_base_merge_mml_sm_clinical_course IS 'ベース_臨床サマリーモジュール_経過記録レコード';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5" si="0">UPPER(G13)</f>
        <v>TEXT</v>
      </c>
      <c r="R13" s="78" t="str">
        <f t="shared" ref="R13:R25"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milscm_2023_010.azn_202310_base_merge_mml_sm_clinical_course.torikomi_ym IS '取込年月';</v>
      </c>
    </row>
    <row r="14" spans="1:45" s="25" customFormat="1">
      <c r="A14" s="4"/>
      <c r="B14" s="21">
        <f t="shared" ref="B14:B24" si="2">ROW()-12</f>
        <v>2</v>
      </c>
      <c r="C14" s="6" t="s">
        <v>203</v>
      </c>
      <c r="D14" s="6" t="s">
        <v>204</v>
      </c>
      <c r="E14" s="8"/>
      <c r="F14" s="7" t="s">
        <v>205</v>
      </c>
      <c r="G14" s="7" t="str">
        <f t="shared" ref="G14:G25" si="3">IF(F14="フラグ","boolean",IF(F14="文字列","text",IF(F14="整数","integer",IF(F14="実数","numeric",""))))</f>
        <v>integer</v>
      </c>
      <c r="H14" s="26"/>
      <c r="I14" s="10"/>
      <c r="J14" s="11" t="s">
        <v>1327</v>
      </c>
      <c r="M14" s="4"/>
      <c r="N14" s="78"/>
      <c r="O14" s="78"/>
      <c r="P14" s="78" t="str">
        <f t="shared" ref="P14:P25"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milscm_2023_010.azn_202310_base_merge_mml_sm_clinical_course.mil_karute_id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5" si="5">IF(I15="○","NOT NULL","")</f>
        <v>NOT NULL</v>
      </c>
      <c r="T15" s="78" t="str">
        <f t="shared" ref="T15:T25"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milscm_2023_010.azn_202310_base_merge_mml_sm_clinical_course.facility_id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milscm_2023_010.azn_202310_base_merge_mml_sm_clinical_course.shinryo_ymd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milscm_2023_010.azn_202310_base_merge_mml_sm_clinical_course.data_type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milscm_2023_010.azn_202310_base_merge_mml_sm_clinical_course.master_id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milscm_2023_010.azn_202310_base_merge_mml_sm_clinical_course.uid IS '文書ユニークID';</v>
      </c>
    </row>
    <row r="20" spans="1:52" s="25" customFormat="1">
      <c r="A20" s="4"/>
      <c r="B20" s="21">
        <f t="shared" si="2"/>
        <v>8</v>
      </c>
      <c r="C20" s="13" t="s">
        <v>1480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milscm_2023_010.azn_202310_base_merge_mml_sm_clinical_course.summary_seq IS '臨床サマリーSEQ';</v>
      </c>
    </row>
    <row r="21" spans="1:52" s="25" customFormat="1">
      <c r="A21" s="4"/>
      <c r="B21" s="21">
        <f t="shared" si="2"/>
        <v>9</v>
      </c>
      <c r="C21" s="13" t="s">
        <v>1389</v>
      </c>
      <c r="D21" s="13" t="s">
        <v>1390</v>
      </c>
      <c r="E21" s="7" t="s">
        <v>127</v>
      </c>
      <c r="F21" s="7" t="s">
        <v>205</v>
      </c>
      <c r="G21" s="7" t="str">
        <f t="shared" si="3"/>
        <v>integer</v>
      </c>
      <c r="H21" s="58"/>
      <c r="I21" s="23" t="s">
        <v>127</v>
      </c>
      <c r="J21" s="24" t="s">
        <v>1573</v>
      </c>
      <c r="M21" s="4"/>
      <c r="N21" s="78"/>
      <c r="O21" s="78"/>
      <c r="P21" s="78" t="str">
        <f t="shared" si="4"/>
        <v>,keika_seq</v>
      </c>
      <c r="Q21" s="78" t="str">
        <f t="shared" si="0"/>
        <v>INTEGER</v>
      </c>
      <c r="R21" s="78" t="str">
        <f t="shared" si="1"/>
        <v/>
      </c>
      <c r="S21" s="78" t="str">
        <f t="shared" si="5"/>
        <v>NOT NULL</v>
      </c>
      <c r="T21" s="78" t="str">
        <f t="shared" si="6"/>
        <v>-- 経過記録SEQ</v>
      </c>
      <c r="U21" s="4"/>
      <c r="AA21" s="4"/>
      <c r="AB21" s="4"/>
      <c r="AC21" s="4"/>
      <c r="AD21" s="4"/>
      <c r="AE21" s="4"/>
      <c r="AF21" s="4"/>
      <c r="AG21" s="4"/>
      <c r="AH21" s="4"/>
      <c r="AI21" s="4"/>
      <c r="AJ21" s="78" t="str">
        <f>IF(E21="○",IF(COUNTA(E$13:E21)=1,"",",")&amp;D21,"")</f>
        <v>,keika_seq</v>
      </c>
      <c r="AK21" s="4"/>
      <c r="AL21" s="4"/>
      <c r="AM21" s="4"/>
      <c r="AN21" s="4"/>
      <c r="AO21" s="4"/>
      <c r="AP21" s="4"/>
      <c r="AQ21" s="4"/>
      <c r="AR21" s="4"/>
      <c r="AS21" s="78" t="str">
        <f>"COMMENT ON COLUMN "&amp;エンティティ一覧!$O$2&amp;"."&amp;D$8&amp;"."&amp;D21&amp;" IS '"&amp;C21&amp;"';"</f>
        <v>COMMENT ON COLUMN milscm_2023_010.azn_202310_base_merge_mml_sm_clinical_course.keika_seq IS '経過記録SEQ';</v>
      </c>
    </row>
    <row r="22" spans="1:52" s="25" customFormat="1" ht="37.5">
      <c r="A22" s="4"/>
      <c r="B22" s="21">
        <f t="shared" si="2"/>
        <v>10</v>
      </c>
      <c r="C22" s="13" t="s">
        <v>1565</v>
      </c>
      <c r="D22" s="13" t="s">
        <v>1566</v>
      </c>
      <c r="E22" s="7"/>
      <c r="F22" s="7" t="s">
        <v>868</v>
      </c>
      <c r="G22" s="7" t="str">
        <f t="shared" si="3"/>
        <v>text</v>
      </c>
      <c r="H22" s="58"/>
      <c r="I22" s="23"/>
      <c r="J22" s="24" t="s">
        <v>1574</v>
      </c>
      <c r="M22" s="4"/>
      <c r="N22" s="78"/>
      <c r="O22" s="78"/>
      <c r="P22" s="78" t="str">
        <f t="shared" si="4"/>
        <v>,keika_kiroku</v>
      </c>
      <c r="Q22" s="78" t="str">
        <f t="shared" si="0"/>
        <v>TEXT</v>
      </c>
      <c r="R22" s="78" t="str">
        <f t="shared" si="1"/>
        <v/>
      </c>
      <c r="S22" s="78" t="str">
        <f t="shared" si="5"/>
        <v/>
      </c>
      <c r="T22" s="78" t="str">
        <f t="shared" si="6"/>
        <v>-- 経過記録</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milscm_2023_010.azn_202310_base_merge_mml_sm_clinical_course.keika_kiroku IS '経過記録';</v>
      </c>
    </row>
    <row r="23" spans="1:52" s="25" customFormat="1" ht="37.5">
      <c r="A23" s="4"/>
      <c r="B23" s="21">
        <f t="shared" si="2"/>
        <v>11</v>
      </c>
      <c r="C23" s="13" t="s">
        <v>1567</v>
      </c>
      <c r="D23" s="13" t="s">
        <v>1568</v>
      </c>
      <c r="E23" s="7"/>
      <c r="F23" s="7" t="s">
        <v>868</v>
      </c>
      <c r="G23" s="7" t="str">
        <f t="shared" si="3"/>
        <v>text</v>
      </c>
      <c r="H23" s="58"/>
      <c r="I23" s="23"/>
      <c r="J23" s="24" t="s">
        <v>1575</v>
      </c>
      <c r="M23" s="4"/>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milscm_2023_010.azn_202310_base_merge_mml_sm_clinical_course.event_date IS 'イベント発生日時';</v>
      </c>
    </row>
    <row r="24" spans="1:52" s="25" customFormat="1" ht="37.5">
      <c r="A24" s="4"/>
      <c r="B24" s="21">
        <f t="shared" si="2"/>
        <v>12</v>
      </c>
      <c r="C24" s="13" t="s">
        <v>1569</v>
      </c>
      <c r="D24" s="13" t="s">
        <v>1570</v>
      </c>
      <c r="E24" s="7"/>
      <c r="F24" s="7" t="s">
        <v>868</v>
      </c>
      <c r="G24" s="7" t="str">
        <f t="shared" si="3"/>
        <v>text</v>
      </c>
      <c r="H24" s="58"/>
      <c r="I24" s="23"/>
      <c r="J24" s="24" t="s">
        <v>1576</v>
      </c>
      <c r="M24" s="4"/>
      <c r="N24" s="78"/>
      <c r="O24" s="78"/>
      <c r="P24" s="78" t="str">
        <f t="shared" si="4"/>
        <v>,kanren_doc_uid</v>
      </c>
      <c r="Q24" s="78" t="str">
        <f t="shared" si="0"/>
        <v>TEXT</v>
      </c>
      <c r="R24" s="78" t="str">
        <f t="shared" si="1"/>
        <v/>
      </c>
      <c r="S24" s="78" t="str">
        <f t="shared" si="5"/>
        <v/>
      </c>
      <c r="T24" s="78" t="str">
        <f t="shared" si="6"/>
        <v>-- 関連文書のuid</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milscm_2023_010.azn_202310_base_merge_mml_sm_clinical_course.kanren_doc_uid IS '関連文書のuid';</v>
      </c>
    </row>
    <row r="25" spans="1:52" s="25" customFormat="1" ht="75.75" thickBot="1">
      <c r="A25" s="4"/>
      <c r="B25" s="27">
        <f>ROW()-12</f>
        <v>13</v>
      </c>
      <c r="C25" s="57" t="s">
        <v>1571</v>
      </c>
      <c r="D25" s="57" t="s">
        <v>1572</v>
      </c>
      <c r="E25" s="56"/>
      <c r="F25" s="56" t="s">
        <v>868</v>
      </c>
      <c r="G25" s="56" t="str">
        <f t="shared" si="3"/>
        <v>text</v>
      </c>
      <c r="H25" s="59"/>
      <c r="I25" s="60"/>
      <c r="J25" s="64" t="s">
        <v>1577</v>
      </c>
      <c r="N25" s="78"/>
      <c r="O25" s="78"/>
      <c r="P25" s="78" t="str">
        <f t="shared" si="4"/>
        <v>,kanren_doc_type</v>
      </c>
      <c r="Q25" s="78" t="str">
        <f t="shared" si="0"/>
        <v>TEXT</v>
      </c>
      <c r="R25" s="78" t="str">
        <f t="shared" si="1"/>
        <v/>
      </c>
      <c r="S25" s="78" t="str">
        <f t="shared" si="5"/>
        <v/>
      </c>
      <c r="T25" s="78" t="str">
        <f t="shared" si="6"/>
        <v>-- 関連文書_関連の種別</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milscm_2023_010.azn_202310_base_merge_mml_sm_clinical_course.kanren_doc_type IS '関連文書_関連の種別';</v>
      </c>
    </row>
    <row r="26" spans="1:52">
      <c r="L26" s="25"/>
      <c r="M26" s="25"/>
      <c r="N26" s="78" t="s">
        <v>142</v>
      </c>
      <c r="O26" s="78"/>
      <c r="P26" s="78"/>
      <c r="Q26" s="78"/>
      <c r="R26" s="78"/>
      <c r="S26" s="78"/>
      <c r="T26" s="78"/>
      <c r="V26" s="25"/>
      <c r="W26" s="25"/>
      <c r="X26" s="25"/>
      <c r="Y26" s="25"/>
      <c r="Z26" s="25"/>
      <c r="AJ26" s="78"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000-000000000000}"/>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AZ45"/>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ENT_31_27</v>
      </c>
      <c r="E6" s="239"/>
      <c r="F6" s="239"/>
      <c r="G6" s="239"/>
      <c r="H6" s="239"/>
      <c r="I6" s="239"/>
      <c r="J6" s="240"/>
    </row>
    <row r="7" spans="1:45">
      <c r="B7" s="228" t="s">
        <v>115</v>
      </c>
      <c r="C7" s="229"/>
      <c r="D7" s="230" t="s">
        <v>3740</v>
      </c>
      <c r="E7" s="231"/>
      <c r="F7" s="231"/>
      <c r="G7" s="231"/>
      <c r="H7" s="231"/>
      <c r="I7" s="231"/>
      <c r="J7" s="232"/>
    </row>
    <row r="8" spans="1:45">
      <c r="B8" s="228" t="s">
        <v>116</v>
      </c>
      <c r="C8" s="229"/>
      <c r="D8" s="230" t="str">
        <f>エンティティ一覧!AE2&amp;"_"&amp;D5&amp;"_merge_mml_sm_test_results"</f>
        <v>azn_202310_base_merge_mml_sm_test_results</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milscm_2023_010.azn_202310_base_merge_mml_sm_test_results;</v>
      </c>
      <c r="O10" s="78"/>
      <c r="P10" s="78"/>
      <c r="Q10" s="78"/>
      <c r="R10" s="78"/>
      <c r="S10" s="78"/>
      <c r="T10" s="78"/>
      <c r="AJ10" s="78" t="str">
        <f>"ALTER TABLE ONLY "&amp;エンティティ一覧!$O$2&amp;"."&amp;D$8</f>
        <v>ALTER TABLE ONLY milscm_2023_010.azn_202310_base_merge_mml_sm_test_results</v>
      </c>
      <c r="AS10" s="78" t="str">
        <f>"ALTER TABLE "&amp;エンティティ一覧!$O$2&amp;"."&amp;D$8&amp;" OWNER TO pgmisgrp1;"</f>
        <v>ALTER TABLE milscm_2023_010.azn_202310_base_merge_mml_sm_test_results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milscm_2023_010.azn_202310_base_merge_mml_sm_test_results</v>
      </c>
      <c r="O11" s="78"/>
      <c r="P11" s="78"/>
      <c r="Q11" s="78"/>
      <c r="R11" s="78"/>
      <c r="S11" s="78"/>
      <c r="T11" s="78"/>
      <c r="AJ11" s="78" t="str">
        <f>"ADD CONSTRAINT "&amp;D$8&amp;"_pkey PRIMARY KEY"</f>
        <v>ADD CONSTRAINT azn_202310_base_merge_mml_sm_test_results_pkey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milscm_2023_010.azn_202310_base_merge_mml_sm_test_results IS 'ベース_臨床サマリーモジュール_検査結果レコード';</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3" si="0">UPPER(G13)</f>
        <v>TEXT</v>
      </c>
      <c r="R13" s="78" t="str">
        <f t="shared" ref="R13:R23"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milscm_2023_010.azn_202310_base_merge_mml_sm_test_results.torikomi_ym IS '取込年月';</v>
      </c>
    </row>
    <row r="14" spans="1:45" s="25" customFormat="1">
      <c r="A14" s="4"/>
      <c r="B14" s="21">
        <f t="shared" ref="B14:B22" si="2">ROW()-12</f>
        <v>2</v>
      </c>
      <c r="C14" s="6" t="s">
        <v>203</v>
      </c>
      <c r="D14" s="6" t="s">
        <v>204</v>
      </c>
      <c r="E14" s="8"/>
      <c r="F14" s="7" t="s">
        <v>205</v>
      </c>
      <c r="G14" s="7" t="str">
        <f t="shared" ref="G14:G23" si="3">IF(F14="フラグ","boolean",IF(F14="文字列","text",IF(F14="整数","integer",IF(F14="実数","numeric",""))))</f>
        <v>integer</v>
      </c>
      <c r="H14" s="26"/>
      <c r="I14" s="10"/>
      <c r="J14" s="11" t="s">
        <v>1327</v>
      </c>
      <c r="M14" s="4"/>
      <c r="N14" s="78"/>
      <c r="O14" s="78"/>
      <c r="P14" s="78" t="str">
        <f t="shared" ref="P14:P23"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milscm_2023_010.azn_202310_base_merge_mml_sm_test_results.mil_karute_id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3" si="5">IF(I15="○","NOT NULL","")</f>
        <v>NOT NULL</v>
      </c>
      <c r="T15" s="78" t="str">
        <f t="shared" ref="T15:T23"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milscm_2023_010.azn_202310_base_merge_mml_sm_test_results.facility_id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milscm_2023_010.azn_202310_base_merge_mml_sm_test_results.shinryo_ymd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milscm_2023_010.azn_202310_base_merge_mml_sm_test_results.data_type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milscm_2023_010.azn_202310_base_merge_mml_sm_test_results.master_id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milscm_2023_010.azn_202310_base_merge_mml_sm_test_results.uid IS '文書ユニークID';</v>
      </c>
    </row>
    <row r="20" spans="1:52" s="25" customFormat="1">
      <c r="A20" s="4"/>
      <c r="B20" s="21">
        <f t="shared" si="2"/>
        <v>8</v>
      </c>
      <c r="C20" s="13" t="s">
        <v>1580</v>
      </c>
      <c r="D20" s="13" t="s">
        <v>1481</v>
      </c>
      <c r="E20" s="7" t="s">
        <v>127</v>
      </c>
      <c r="F20" s="7" t="s">
        <v>205</v>
      </c>
      <c r="G20" s="7" t="str">
        <f t="shared" si="3"/>
        <v>integer</v>
      </c>
      <c r="H20" s="58"/>
      <c r="I20" s="23" t="s">
        <v>127</v>
      </c>
      <c r="J20" s="24" t="s">
        <v>1506</v>
      </c>
      <c r="M20" s="4"/>
      <c r="N20" s="78"/>
      <c r="O20" s="78"/>
      <c r="P20" s="78" t="str">
        <f t="shared" si="4"/>
        <v>,summary_seq</v>
      </c>
      <c r="Q20" s="78" t="str">
        <f t="shared" si="0"/>
        <v>INTEGER</v>
      </c>
      <c r="R20" s="78" t="str">
        <f t="shared" si="1"/>
        <v/>
      </c>
      <c r="S20" s="78" t="str">
        <f t="shared" si="5"/>
        <v>NOT NULL</v>
      </c>
      <c r="T20" s="78" t="str">
        <f t="shared" si="6"/>
        <v>-- 臨床サマリーSEQ</v>
      </c>
      <c r="U20" s="4"/>
      <c r="AA20" s="4"/>
      <c r="AB20" s="4"/>
      <c r="AC20" s="4"/>
      <c r="AD20" s="4"/>
      <c r="AE20" s="4"/>
      <c r="AF20" s="4"/>
      <c r="AG20" s="4"/>
      <c r="AH20" s="4"/>
      <c r="AI20" s="4"/>
      <c r="AJ20" s="78" t="str">
        <f>IF(E20="○",IF(COUNTA(E$13:E20)=1,"",",")&amp;D20,"")</f>
        <v>,summary_seq</v>
      </c>
      <c r="AK20" s="4"/>
      <c r="AL20" s="4"/>
      <c r="AM20" s="4"/>
      <c r="AN20" s="4"/>
      <c r="AO20" s="4"/>
      <c r="AP20" s="4"/>
      <c r="AQ20" s="4"/>
      <c r="AR20" s="4"/>
      <c r="AS20" s="78" t="str">
        <f>"COMMENT ON COLUMN "&amp;エンティティ一覧!$O$2&amp;"."&amp;D$8&amp;"."&amp;D20&amp;" IS '"&amp;C20&amp;"';"</f>
        <v>COMMENT ON COLUMN milscm_2023_010.azn_202310_base_merge_mml_sm_test_results.summary_seq IS '臨床サマリーSEQ';</v>
      </c>
    </row>
    <row r="21" spans="1:52" s="25" customFormat="1">
      <c r="A21" s="4"/>
      <c r="B21" s="21">
        <f t="shared" si="2"/>
        <v>9</v>
      </c>
      <c r="C21" s="13" t="s">
        <v>1581</v>
      </c>
      <c r="D21" s="13" t="s">
        <v>1582</v>
      </c>
      <c r="E21" s="7" t="s">
        <v>127</v>
      </c>
      <c r="F21" s="7" t="s">
        <v>205</v>
      </c>
      <c r="G21" s="7" t="str">
        <f t="shared" si="3"/>
        <v>integer</v>
      </c>
      <c r="H21" s="58"/>
      <c r="I21" s="23" t="s">
        <v>127</v>
      </c>
      <c r="J21" s="24" t="s">
        <v>1585</v>
      </c>
      <c r="M21" s="4"/>
      <c r="N21" s="78"/>
      <c r="O21" s="78"/>
      <c r="P21" s="78" t="str">
        <f t="shared" si="4"/>
        <v>,kensa_seq</v>
      </c>
      <c r="Q21" s="78" t="str">
        <f t="shared" si="0"/>
        <v>INTEGER</v>
      </c>
      <c r="R21" s="78" t="str">
        <f t="shared" si="1"/>
        <v/>
      </c>
      <c r="S21" s="78" t="str">
        <f t="shared" si="5"/>
        <v>NOT NULL</v>
      </c>
      <c r="T21" s="78" t="str">
        <f t="shared" si="6"/>
        <v>-- 個々の検査結果SEQ</v>
      </c>
      <c r="U21" s="4"/>
      <c r="AA21" s="4"/>
      <c r="AB21" s="4"/>
      <c r="AC21" s="4"/>
      <c r="AD21" s="4"/>
      <c r="AE21" s="4"/>
      <c r="AF21" s="4"/>
      <c r="AG21" s="4"/>
      <c r="AH21" s="4"/>
      <c r="AI21" s="4"/>
      <c r="AJ21" s="78" t="str">
        <f>IF(E21="○",IF(COUNTA(E$13:E21)=1,"",",")&amp;D21,"")</f>
        <v>,kensa_seq</v>
      </c>
      <c r="AK21" s="4"/>
      <c r="AL21" s="4"/>
      <c r="AM21" s="4"/>
      <c r="AN21" s="4"/>
      <c r="AO21" s="4"/>
      <c r="AP21" s="4"/>
      <c r="AQ21" s="4"/>
      <c r="AR21" s="4"/>
      <c r="AS21" s="78" t="str">
        <f>"COMMENT ON COLUMN "&amp;エンティティ一覧!$O$2&amp;"."&amp;D$8&amp;"."&amp;D21&amp;" IS '"&amp;C21&amp;"';"</f>
        <v>COMMENT ON COLUMN milscm_2023_010.azn_202310_base_merge_mml_sm_test_results.kensa_seq IS '個々の検査結果SEQ';</v>
      </c>
    </row>
    <row r="22" spans="1:52" s="25" customFormat="1" ht="37.5">
      <c r="A22" s="4"/>
      <c r="B22" s="21">
        <f t="shared" si="2"/>
        <v>10</v>
      </c>
      <c r="C22" s="13" t="s">
        <v>1583</v>
      </c>
      <c r="D22" s="13" t="s">
        <v>1584</v>
      </c>
      <c r="E22" s="7"/>
      <c r="F22" s="7" t="s">
        <v>868</v>
      </c>
      <c r="G22" s="7" t="str">
        <f t="shared" si="3"/>
        <v>text</v>
      </c>
      <c r="H22" s="58"/>
      <c r="I22" s="23"/>
      <c r="J22" s="24" t="s">
        <v>1586</v>
      </c>
      <c r="M22" s="4"/>
      <c r="N22" s="78"/>
      <c r="O22" s="78"/>
      <c r="P22" s="78" t="str">
        <f t="shared" si="4"/>
        <v>,kensa_result_value</v>
      </c>
      <c r="Q22" s="78" t="str">
        <f t="shared" si="0"/>
        <v>TEXT</v>
      </c>
      <c r="R22" s="78" t="str">
        <f t="shared" si="1"/>
        <v/>
      </c>
      <c r="S22" s="78" t="str">
        <f t="shared" si="5"/>
        <v/>
      </c>
      <c r="T22" s="78" t="str">
        <f t="shared" si="6"/>
        <v>-- 個々の検査結果</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milscm_2023_010.azn_202310_base_merge_mml_sm_test_results.kensa_result_value IS '個々の検査結果';</v>
      </c>
    </row>
    <row r="23" spans="1:52" s="25" customFormat="1" ht="38.25" thickBot="1">
      <c r="A23" s="4"/>
      <c r="B23" s="27">
        <f>ROW()-12</f>
        <v>11</v>
      </c>
      <c r="C23" s="57" t="s">
        <v>1567</v>
      </c>
      <c r="D23" s="57" t="s">
        <v>1568</v>
      </c>
      <c r="E23" s="56"/>
      <c r="F23" s="56" t="s">
        <v>868</v>
      </c>
      <c r="G23" s="56" t="str">
        <f t="shared" si="3"/>
        <v>text</v>
      </c>
      <c r="H23" s="59"/>
      <c r="I23" s="60"/>
      <c r="J23" s="64" t="s">
        <v>1587</v>
      </c>
      <c r="N23" s="78"/>
      <c r="O23" s="78"/>
      <c r="P23" s="78" t="str">
        <f t="shared" si="4"/>
        <v>,event_date</v>
      </c>
      <c r="Q23" s="78" t="str">
        <f t="shared" si="0"/>
        <v>TEXT</v>
      </c>
      <c r="R23" s="78" t="str">
        <f t="shared" si="1"/>
        <v/>
      </c>
      <c r="S23" s="78" t="str">
        <f t="shared" si="5"/>
        <v/>
      </c>
      <c r="T23" s="78" t="str">
        <f t="shared" si="6"/>
        <v>-- イベント発生日時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milscm_2023_010.azn_202310_base_merge_mml_sm_test_results.event_date IS 'イベント発生日時';</v>
      </c>
    </row>
    <row r="24" spans="1:52">
      <c r="L24" s="25"/>
      <c r="M24" s="25"/>
      <c r="N24" s="78" t="s">
        <v>142</v>
      </c>
      <c r="O24" s="78"/>
      <c r="P24" s="78"/>
      <c r="Q24" s="78"/>
      <c r="R24" s="78"/>
      <c r="S24" s="78"/>
      <c r="T24" s="78"/>
      <c r="V24" s="25"/>
      <c r="W24" s="25"/>
      <c r="X24" s="25"/>
      <c r="Y24" s="25"/>
      <c r="Z24" s="25"/>
      <c r="AJ24" s="78"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100-000000000000}"/>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AZ60"/>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ENT_31_28</v>
      </c>
      <c r="E6" s="239"/>
      <c r="F6" s="239"/>
      <c r="G6" s="239"/>
      <c r="H6" s="239"/>
      <c r="I6" s="239"/>
      <c r="J6" s="240"/>
    </row>
    <row r="7" spans="1:45">
      <c r="B7" s="228" t="s">
        <v>115</v>
      </c>
      <c r="C7" s="229"/>
      <c r="D7" s="230" t="s">
        <v>3741</v>
      </c>
      <c r="E7" s="231"/>
      <c r="F7" s="231"/>
      <c r="G7" s="231"/>
      <c r="H7" s="231"/>
      <c r="I7" s="231"/>
      <c r="J7" s="232"/>
    </row>
    <row r="8" spans="1:45">
      <c r="B8" s="228" t="s">
        <v>116</v>
      </c>
      <c r="C8" s="229"/>
      <c r="D8" s="230" t="str">
        <f>エンティティ一覧!AE2&amp;"_"&amp;D5&amp;"_merge_mml_lb_test"</f>
        <v>azn_202310_base_merge_mml_lb_test</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milscm_2023_010.azn_202310_base_merge_mml_lb_test;</v>
      </c>
      <c r="O10" s="78"/>
      <c r="P10" s="78"/>
      <c r="Q10" s="78"/>
      <c r="R10" s="78"/>
      <c r="S10" s="78"/>
      <c r="T10" s="78"/>
      <c r="AJ10" s="78" t="str">
        <f>"ALTER TABLE ONLY "&amp;エンティティ一覧!$O$2&amp;"."&amp;D$8</f>
        <v>ALTER TABLE ONLY milscm_2023_010.azn_202310_base_merge_mml_lb_test</v>
      </c>
      <c r="AS10" s="78" t="str">
        <f>"ALTER TABLE "&amp;エンティティ一覧!$O$2&amp;"."&amp;D$8&amp;" OWNER TO pgmisgrp1;"</f>
        <v>ALTER TABLE milscm_2023_010.azn_202310_base_merge_mml_lb_test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milscm_2023_010.azn_202310_base_merge_mml_lb_test</v>
      </c>
      <c r="O11" s="78"/>
      <c r="P11" s="78"/>
      <c r="Q11" s="78"/>
      <c r="R11" s="78"/>
      <c r="S11" s="78"/>
      <c r="T11" s="78"/>
      <c r="AJ11" s="78" t="str">
        <f>"ADD CONSTRAINT "&amp;D$8&amp;"_pkey PRIMARY KEY"</f>
        <v>ADD CONSTRAINT azn_202310_base_merge_mml_lb_test_pkey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milscm_2023_010.azn_202310_base_merge_mml_lb_test IS 'ベース_検歴情報モジュール_検歴情報';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38" si="0">UPPER(G13)</f>
        <v>TEXT</v>
      </c>
      <c r="R13" s="78" t="str">
        <f t="shared" ref="R13:R38"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milscm_2023_010.azn_202310_base_merge_mml_lb_test.torikomi_ym IS '取込年月';</v>
      </c>
    </row>
    <row r="14" spans="1:45" s="25" customFormat="1">
      <c r="A14" s="4"/>
      <c r="B14" s="21">
        <f t="shared" ref="B14:B37" si="2">ROW()-12</f>
        <v>2</v>
      </c>
      <c r="C14" s="6" t="s">
        <v>203</v>
      </c>
      <c r="D14" s="6" t="s">
        <v>204</v>
      </c>
      <c r="E14" s="8"/>
      <c r="F14" s="7" t="s">
        <v>205</v>
      </c>
      <c r="G14" s="7" t="str">
        <f t="shared" ref="G14:G38" si="3">IF(F14="フラグ","boolean",IF(F14="文字列","text",IF(F14="整数","integer",IF(F14="実数","numeric",""))))</f>
        <v>integer</v>
      </c>
      <c r="H14" s="26"/>
      <c r="I14" s="10"/>
      <c r="J14" s="11" t="s">
        <v>258</v>
      </c>
      <c r="M14" s="4"/>
      <c r="N14" s="78"/>
      <c r="O14" s="78"/>
      <c r="P14" s="78" t="str">
        <f t="shared" ref="P14:P38"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milscm_2023_010.azn_202310_base_merge_mml_lb_test.mil_karute_id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38" si="5">IF(I15="○","NOT NULL","")</f>
        <v>NOT NULL</v>
      </c>
      <c r="T15" s="78" t="str">
        <f t="shared" ref="T15:T38"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milscm_2023_010.azn_202310_base_merge_mml_lb_test.facility_id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milscm_2023_010.azn_202310_base_merge_mml_lb_test.shinryo_ymd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milscm_2023_010.azn_202310_base_merge_mml_lb_test.data_type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milscm_2023_010.azn_202310_base_merge_mml_lb_test.master_id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milscm_2023_010.azn_202310_base_merge_mml_lb_test.uid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milscm_2023_010.azn_202310_base_merge_mml_lb_test.kenreki_seq IS '検歴SEQ';</v>
      </c>
    </row>
    <row r="21" spans="1:45" s="25" customFormat="1">
      <c r="A21" s="4"/>
      <c r="B21" s="21">
        <f t="shared" si="2"/>
        <v>9</v>
      </c>
      <c r="C21" s="13" t="s">
        <v>1591</v>
      </c>
      <c r="D21" s="13" t="s">
        <v>1592</v>
      </c>
      <c r="E21" s="7"/>
      <c r="F21" s="7" t="s">
        <v>868</v>
      </c>
      <c r="G21" s="7" t="str">
        <f t="shared" si="3"/>
        <v>text</v>
      </c>
      <c r="H21" s="58"/>
      <c r="I21" s="23"/>
      <c r="J21" s="24" t="s">
        <v>1628</v>
      </c>
      <c r="M21" s="4"/>
      <c r="N21" s="78"/>
      <c r="O21" s="78"/>
      <c r="P21" s="78" t="str">
        <f t="shared" si="4"/>
        <v>,irai_id</v>
      </c>
      <c r="Q21" s="78" t="str">
        <f t="shared" si="0"/>
        <v>TEXT</v>
      </c>
      <c r="R21" s="78" t="str">
        <f t="shared" si="1"/>
        <v/>
      </c>
      <c r="S21" s="78" t="str">
        <f t="shared" si="5"/>
        <v/>
      </c>
      <c r="T21" s="78" t="str">
        <f t="shared" si="6"/>
        <v>-- 依頼ID</v>
      </c>
      <c r="U21" s="4"/>
      <c r="AA21" s="4"/>
      <c r="AB21" s="4"/>
      <c r="AC21" s="4"/>
      <c r="AD21" s="4"/>
      <c r="AE21" s="4"/>
      <c r="AF21" s="4"/>
      <c r="AG21" s="4"/>
      <c r="AH21" s="4"/>
      <c r="AI21" s="4"/>
      <c r="AJ21" s="78" t="str">
        <f>IF(E21="○",IF(COUNTA(E$13:E21)=1,"",",")&amp;D21,"")</f>
        <v/>
      </c>
      <c r="AK21" s="4"/>
      <c r="AL21" s="4"/>
      <c r="AM21" s="4"/>
      <c r="AN21" s="4"/>
      <c r="AO21" s="4"/>
      <c r="AP21" s="4"/>
      <c r="AQ21" s="4"/>
      <c r="AR21" s="4"/>
      <c r="AS21" s="78" t="str">
        <f>"COMMENT ON COLUMN "&amp;エンティティ一覧!$O$2&amp;"."&amp;D$8&amp;"."&amp;D21&amp;" IS '"&amp;C21&amp;"';"</f>
        <v>COMMENT ON COLUMN milscm_2023_010.azn_202310_base_merge_mml_lb_test.irai_id IS '依頼ID';</v>
      </c>
    </row>
    <row r="22" spans="1:45" s="25" customFormat="1" ht="37.5">
      <c r="A22" s="4"/>
      <c r="B22" s="21">
        <f t="shared" si="2"/>
        <v>10</v>
      </c>
      <c r="C22" s="13" t="s">
        <v>1593</v>
      </c>
      <c r="D22" s="13" t="s">
        <v>1594</v>
      </c>
      <c r="E22" s="7"/>
      <c r="F22" s="7" t="s">
        <v>868</v>
      </c>
      <c r="G22" s="7" t="str">
        <f t="shared" si="3"/>
        <v>text</v>
      </c>
      <c r="H22" s="58"/>
      <c r="I22" s="23"/>
      <c r="J22" s="24" t="s">
        <v>1629</v>
      </c>
      <c r="M22" s="4"/>
      <c r="N22" s="78"/>
      <c r="O22" s="78"/>
      <c r="P22" s="78" t="str">
        <f t="shared" si="4"/>
        <v>,sample_time</v>
      </c>
      <c r="Q22" s="78" t="str">
        <f t="shared" si="0"/>
        <v>TEXT</v>
      </c>
      <c r="R22" s="78" t="str">
        <f t="shared" si="1"/>
        <v/>
      </c>
      <c r="S22" s="78" t="str">
        <f t="shared" si="5"/>
        <v/>
      </c>
      <c r="T22" s="78" t="str">
        <f t="shared" si="6"/>
        <v>-- 採取日時</v>
      </c>
      <c r="U22" s="4"/>
      <c r="AA22" s="4"/>
      <c r="AB22" s="4"/>
      <c r="AC22" s="4"/>
      <c r="AD22" s="4"/>
      <c r="AE22" s="4"/>
      <c r="AF22" s="4"/>
      <c r="AG22" s="4"/>
      <c r="AH22" s="4"/>
      <c r="AI22" s="4"/>
      <c r="AJ22" s="78" t="str">
        <f>IF(E22="○",IF(COUNTA(E$13:E22)=1,"",",")&amp;D22,"")</f>
        <v/>
      </c>
      <c r="AK22" s="4"/>
      <c r="AL22" s="4"/>
      <c r="AM22" s="4"/>
      <c r="AN22" s="4"/>
      <c r="AO22" s="4"/>
      <c r="AP22" s="4"/>
      <c r="AQ22" s="4"/>
      <c r="AR22" s="4"/>
      <c r="AS22" s="78" t="str">
        <f>"COMMENT ON COLUMN "&amp;エンティティ一覧!$O$2&amp;"."&amp;D$8&amp;"."&amp;D22&amp;" IS '"&amp;C22&amp;"';"</f>
        <v>COMMENT ON COLUMN milscm_2023_010.azn_202310_base_merge_mml_lb_test.sample_time IS '採取日時';</v>
      </c>
    </row>
    <row r="23" spans="1:45" s="25" customFormat="1" ht="37.5">
      <c r="A23" s="4"/>
      <c r="B23" s="21">
        <f t="shared" si="2"/>
        <v>11</v>
      </c>
      <c r="C23" s="13" t="s">
        <v>1595</v>
      </c>
      <c r="D23" s="13" t="s">
        <v>1596</v>
      </c>
      <c r="E23" s="7"/>
      <c r="F23" s="7" t="s">
        <v>868</v>
      </c>
      <c r="G23" s="7" t="str">
        <f t="shared" si="3"/>
        <v>text</v>
      </c>
      <c r="H23" s="58"/>
      <c r="I23" s="23"/>
      <c r="J23" s="24" t="s">
        <v>1630</v>
      </c>
      <c r="M23" s="4"/>
      <c r="N23" s="78"/>
      <c r="O23" s="78"/>
      <c r="P23" s="78" t="str">
        <f t="shared" si="4"/>
        <v>,uketsuke_time</v>
      </c>
      <c r="Q23" s="78" t="str">
        <f t="shared" si="0"/>
        <v>TEXT</v>
      </c>
      <c r="R23" s="78" t="str">
        <f t="shared" si="1"/>
        <v/>
      </c>
      <c r="S23" s="78" t="str">
        <f t="shared" si="5"/>
        <v/>
      </c>
      <c r="T23" s="78" t="str">
        <f t="shared" si="6"/>
        <v>-- 受付日時</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milscm_2023_010.azn_202310_base_merge_mml_lb_test.uketsuke_time IS '受付日時';</v>
      </c>
    </row>
    <row r="24" spans="1:45" s="25" customFormat="1" ht="37.5">
      <c r="A24" s="4"/>
      <c r="B24" s="21">
        <f t="shared" si="2"/>
        <v>12</v>
      </c>
      <c r="C24" s="13" t="s">
        <v>1597</v>
      </c>
      <c r="D24" s="13" t="s">
        <v>1598</v>
      </c>
      <c r="E24" s="7"/>
      <c r="F24" s="7" t="s">
        <v>868</v>
      </c>
      <c r="G24" s="7" t="str">
        <f t="shared" si="3"/>
        <v>text</v>
      </c>
      <c r="H24" s="58"/>
      <c r="I24" s="23"/>
      <c r="J24" s="24" t="s">
        <v>1631</v>
      </c>
      <c r="M24" s="4"/>
      <c r="N24" s="78"/>
      <c r="O24" s="78"/>
      <c r="P24" s="78" t="str">
        <f t="shared" si="4"/>
        <v>,report_time</v>
      </c>
      <c r="Q24" s="78" t="str">
        <f t="shared" si="0"/>
        <v>TEXT</v>
      </c>
      <c r="R24" s="78" t="str">
        <f t="shared" si="1"/>
        <v/>
      </c>
      <c r="S24" s="78" t="str">
        <f t="shared" si="5"/>
        <v/>
      </c>
      <c r="T24" s="78" t="str">
        <f t="shared" si="6"/>
        <v>-- 報告日時</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milscm_2023_010.azn_202310_base_merge_mml_lb_test.report_time IS '報告日時';</v>
      </c>
    </row>
    <row r="25" spans="1:45" s="25" customFormat="1">
      <c r="A25" s="4"/>
      <c r="B25" s="21">
        <f t="shared" si="2"/>
        <v>13</v>
      </c>
      <c r="C25" s="13" t="s">
        <v>1599</v>
      </c>
      <c r="D25" s="13" t="s">
        <v>1600</v>
      </c>
      <c r="E25" s="7"/>
      <c r="F25" s="7" t="s">
        <v>868</v>
      </c>
      <c r="G25" s="7" t="str">
        <f t="shared" si="3"/>
        <v>text</v>
      </c>
      <c r="H25" s="58"/>
      <c r="I25" s="23"/>
      <c r="J25" s="24" t="s">
        <v>1632</v>
      </c>
      <c r="M25" s="4"/>
      <c r="N25" s="78"/>
      <c r="O25" s="78"/>
      <c r="P25" s="78" t="str">
        <f t="shared" si="4"/>
        <v>,status</v>
      </c>
      <c r="Q25" s="78" t="str">
        <f t="shared" si="0"/>
        <v>TEXT</v>
      </c>
      <c r="R25" s="78" t="str">
        <f t="shared" si="1"/>
        <v/>
      </c>
      <c r="S25" s="78" t="str">
        <f t="shared" si="5"/>
        <v/>
      </c>
      <c r="T25" s="78" t="str">
        <f t="shared" si="6"/>
        <v>-- 報告状態</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milscm_2023_010.azn_202310_base_merge_mml_lb_test.status IS '報告状態';</v>
      </c>
    </row>
    <row r="26" spans="1:45" s="25" customFormat="1" ht="56.25">
      <c r="A26" s="4"/>
      <c r="B26" s="21">
        <f t="shared" si="2"/>
        <v>14</v>
      </c>
      <c r="C26" s="13" t="s">
        <v>1601</v>
      </c>
      <c r="D26" s="13" t="s">
        <v>1602</v>
      </c>
      <c r="E26" s="7"/>
      <c r="F26" s="7" t="s">
        <v>868</v>
      </c>
      <c r="G26" s="7" t="str">
        <f t="shared" si="3"/>
        <v>text</v>
      </c>
      <c r="H26" s="58"/>
      <c r="I26" s="23"/>
      <c r="J26" s="24" t="s">
        <v>1633</v>
      </c>
      <c r="M26" s="4"/>
      <c r="N26" s="78"/>
      <c r="O26" s="78"/>
      <c r="P26" s="78" t="str">
        <f t="shared" si="4"/>
        <v>,status_code</v>
      </c>
      <c r="Q26" s="78" t="str">
        <f t="shared" si="0"/>
        <v>TEXT</v>
      </c>
      <c r="R26" s="78" t="str">
        <f t="shared" si="1"/>
        <v/>
      </c>
      <c r="S26" s="78" t="str">
        <f t="shared" si="5"/>
        <v/>
      </c>
      <c r="T26" s="78" t="str">
        <f t="shared" si="6"/>
        <v>-- 報告状態コード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milscm_2023_010.azn_202310_base_merge_mml_lb_test.status_code IS '報告状態コード';</v>
      </c>
    </row>
    <row r="27" spans="1:45" s="25" customFormat="1">
      <c r="A27" s="4"/>
      <c r="B27" s="21">
        <f t="shared" si="2"/>
        <v>15</v>
      </c>
      <c r="C27" s="13" t="s">
        <v>1603</v>
      </c>
      <c r="D27" s="13" t="s">
        <v>1604</v>
      </c>
      <c r="E27" s="7"/>
      <c r="F27" s="7" t="s">
        <v>868</v>
      </c>
      <c r="G27" s="7" t="str">
        <f t="shared" si="3"/>
        <v>text</v>
      </c>
      <c r="H27" s="58"/>
      <c r="I27" s="23"/>
      <c r="J27" s="24" t="s">
        <v>1634</v>
      </c>
      <c r="M27" s="4"/>
      <c r="N27" s="78"/>
      <c r="O27" s="78"/>
      <c r="P27" s="78" t="str">
        <f t="shared" si="4"/>
        <v>,set_name</v>
      </c>
      <c r="Q27" s="78" t="str">
        <f t="shared" si="0"/>
        <v>TEXT</v>
      </c>
      <c r="R27" s="78" t="str">
        <f t="shared" si="1"/>
        <v/>
      </c>
      <c r="S27" s="78" t="str">
        <f t="shared" si="5"/>
        <v/>
      </c>
      <c r="T27" s="78" t="str">
        <f t="shared" si="6"/>
        <v>-- セット名</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milscm_2023_010.azn_202310_base_merge_mml_lb_test.set_name IS 'セット名';</v>
      </c>
    </row>
    <row r="28" spans="1:45" s="25" customFormat="1" ht="37.5">
      <c r="A28" s="4"/>
      <c r="B28" s="21">
        <f t="shared" si="2"/>
        <v>16</v>
      </c>
      <c r="C28" s="13" t="s">
        <v>1605</v>
      </c>
      <c r="D28" s="13" t="s">
        <v>1606</v>
      </c>
      <c r="E28" s="7"/>
      <c r="F28" s="7" t="s">
        <v>868</v>
      </c>
      <c r="G28" s="7" t="str">
        <f t="shared" si="3"/>
        <v>text</v>
      </c>
      <c r="H28" s="58"/>
      <c r="I28" s="23"/>
      <c r="J28" s="24" t="s">
        <v>1635</v>
      </c>
      <c r="M28" s="4"/>
      <c r="N28" s="78"/>
      <c r="O28" s="78"/>
      <c r="P28" s="78" t="str">
        <f t="shared" si="4"/>
        <v>,set_name_code</v>
      </c>
      <c r="Q28" s="78" t="str">
        <f t="shared" si="0"/>
        <v>TEXT</v>
      </c>
      <c r="R28" s="78" t="str">
        <f t="shared" si="1"/>
        <v/>
      </c>
      <c r="S28" s="78" t="str">
        <f t="shared" si="5"/>
        <v/>
      </c>
      <c r="T28" s="78" t="str">
        <f t="shared" si="6"/>
        <v>-- セット名コード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milscm_2023_010.azn_202310_base_merge_mml_lb_test.set_name_code IS 'セット名コード';</v>
      </c>
    </row>
    <row r="29" spans="1:45" s="25" customFormat="1" ht="37.5">
      <c r="A29" s="4"/>
      <c r="B29" s="21">
        <f t="shared" si="2"/>
        <v>17</v>
      </c>
      <c r="C29" s="13" t="s">
        <v>1607</v>
      </c>
      <c r="D29" s="13" t="s">
        <v>1608</v>
      </c>
      <c r="E29" s="7"/>
      <c r="F29" s="7" t="s">
        <v>868</v>
      </c>
      <c r="G29" s="7" t="str">
        <f t="shared" si="3"/>
        <v>text</v>
      </c>
      <c r="H29" s="58"/>
      <c r="I29" s="23"/>
      <c r="J29" s="24" t="s">
        <v>1636</v>
      </c>
      <c r="M29" s="4"/>
      <c r="N29" s="78"/>
      <c r="O29" s="78"/>
      <c r="P29" s="78" t="str">
        <f t="shared" si="4"/>
        <v>,set_name_code_id</v>
      </c>
      <c r="Q29" s="78" t="str">
        <f t="shared" si="0"/>
        <v>TEXT</v>
      </c>
      <c r="R29" s="78" t="str">
        <f t="shared" si="1"/>
        <v/>
      </c>
      <c r="S29" s="78" t="str">
        <f t="shared" si="5"/>
        <v/>
      </c>
      <c r="T29" s="78" t="str">
        <f t="shared" si="6"/>
        <v>-- セット名コードID</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milscm_2023_010.azn_202310_base_merge_mml_lb_test.set_name_code_id IS 'セット名コードID';</v>
      </c>
    </row>
    <row r="30" spans="1:45" s="25" customFormat="1">
      <c r="A30" s="4"/>
      <c r="B30" s="21">
        <f t="shared" si="2"/>
        <v>18</v>
      </c>
      <c r="C30" s="13" t="s">
        <v>1609</v>
      </c>
      <c r="D30" s="13" t="s">
        <v>1610</v>
      </c>
      <c r="E30" s="7"/>
      <c r="F30" s="7" t="s">
        <v>868</v>
      </c>
      <c r="G30" s="7" t="str">
        <f t="shared" si="3"/>
        <v>text</v>
      </c>
      <c r="H30" s="58"/>
      <c r="I30" s="23"/>
      <c r="J30" s="24" t="s">
        <v>1637</v>
      </c>
      <c r="M30" s="4"/>
      <c r="N30" s="78"/>
      <c r="O30" s="78"/>
      <c r="P30" s="78" t="str">
        <f t="shared" si="4"/>
        <v>,irai_facility</v>
      </c>
      <c r="Q30" s="78" t="str">
        <f t="shared" si="0"/>
        <v>TEXT</v>
      </c>
      <c r="R30" s="78" t="str">
        <f t="shared" si="1"/>
        <v/>
      </c>
      <c r="S30" s="78" t="str">
        <f t="shared" si="5"/>
        <v/>
      </c>
      <c r="T30" s="78" t="str">
        <f t="shared" si="6"/>
        <v>-- 依頼施設</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milscm_2023_010.azn_202310_base_merge_mml_lb_test.irai_facility IS '依頼施設';</v>
      </c>
    </row>
    <row r="31" spans="1:45" s="25" customFormat="1">
      <c r="A31" s="4"/>
      <c r="B31" s="21">
        <f t="shared" si="2"/>
        <v>19</v>
      </c>
      <c r="C31" s="13" t="s">
        <v>1611</v>
      </c>
      <c r="D31" s="13" t="s">
        <v>1612</v>
      </c>
      <c r="E31" s="7"/>
      <c r="F31" s="7" t="s">
        <v>868</v>
      </c>
      <c r="G31" s="7" t="str">
        <f t="shared" si="3"/>
        <v>text</v>
      </c>
      <c r="H31" s="58"/>
      <c r="I31" s="23"/>
      <c r="J31" s="24" t="s">
        <v>1638</v>
      </c>
      <c r="M31" s="4"/>
      <c r="N31" s="78"/>
      <c r="O31" s="78"/>
      <c r="P31" s="78" t="str">
        <f t="shared" si="4"/>
        <v>,irai_facility_code</v>
      </c>
      <c r="Q31" s="78" t="str">
        <f t="shared" si="0"/>
        <v>TEXT</v>
      </c>
      <c r="R31" s="78" t="str">
        <f t="shared" si="1"/>
        <v/>
      </c>
      <c r="S31" s="78" t="str">
        <f t="shared" si="5"/>
        <v/>
      </c>
      <c r="T31" s="78" t="str">
        <f t="shared" si="6"/>
        <v>-- 依頼施設コード</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milscm_2023_010.azn_202310_base_merge_mml_lb_test.irai_facility_code IS '依頼施設コード';</v>
      </c>
    </row>
    <row r="32" spans="1:45" s="25" customFormat="1" ht="37.5">
      <c r="A32" s="4"/>
      <c r="B32" s="21">
        <f t="shared" si="2"/>
        <v>20</v>
      </c>
      <c r="C32" s="13" t="s">
        <v>1613</v>
      </c>
      <c r="D32" s="13" t="s">
        <v>1614</v>
      </c>
      <c r="E32" s="7"/>
      <c r="F32" s="7" t="s">
        <v>868</v>
      </c>
      <c r="G32" s="7" t="str">
        <f t="shared" si="3"/>
        <v>text</v>
      </c>
      <c r="H32" s="58"/>
      <c r="I32" s="23"/>
      <c r="J32" s="24" t="s">
        <v>1639</v>
      </c>
      <c r="M32" s="4"/>
      <c r="N32" s="78"/>
      <c r="O32" s="78"/>
      <c r="P32" s="78" t="str">
        <f t="shared" si="4"/>
        <v>,irai_facility_code_id</v>
      </c>
      <c r="Q32" s="78" t="str">
        <f t="shared" si="0"/>
        <v>TEXT</v>
      </c>
      <c r="R32" s="78" t="str">
        <f t="shared" si="1"/>
        <v/>
      </c>
      <c r="S32" s="78" t="str">
        <f t="shared" si="5"/>
        <v/>
      </c>
      <c r="T32" s="78" t="str">
        <f t="shared" si="6"/>
        <v>-- 依頼施設コードID</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milscm_2023_010.azn_202310_base_merge_mml_lb_test.irai_facility_code_id IS '依頼施設コードID';</v>
      </c>
    </row>
    <row r="33" spans="1:52" s="25" customFormat="1">
      <c r="A33" s="4"/>
      <c r="B33" s="21">
        <f t="shared" si="2"/>
        <v>21</v>
      </c>
      <c r="C33" s="13" t="s">
        <v>1615</v>
      </c>
      <c r="D33" s="13" t="s">
        <v>1616</v>
      </c>
      <c r="E33" s="7"/>
      <c r="F33" s="7" t="s">
        <v>868</v>
      </c>
      <c r="G33" s="7" t="str">
        <f t="shared" si="3"/>
        <v>text</v>
      </c>
      <c r="H33" s="58"/>
      <c r="I33" s="23"/>
      <c r="J33" s="24" t="s">
        <v>1640</v>
      </c>
      <c r="M33" s="4"/>
      <c r="N33" s="78"/>
      <c r="O33" s="78"/>
      <c r="P33" s="78" t="str">
        <f t="shared" si="4"/>
        <v>,irai_department</v>
      </c>
      <c r="Q33" s="78" t="str">
        <f t="shared" si="0"/>
        <v>TEXT</v>
      </c>
      <c r="R33" s="78" t="str">
        <f t="shared" si="1"/>
        <v/>
      </c>
      <c r="S33" s="78" t="str">
        <f t="shared" si="5"/>
        <v/>
      </c>
      <c r="T33" s="78" t="str">
        <f t="shared" si="6"/>
        <v>-- 依頼診療科</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milscm_2023_010.azn_202310_base_merge_mml_lb_test.irai_department IS '依頼診療科';</v>
      </c>
    </row>
    <row r="34" spans="1:52" s="25" customFormat="1" ht="37.5">
      <c r="A34" s="4"/>
      <c r="B34" s="21">
        <f t="shared" si="2"/>
        <v>22</v>
      </c>
      <c r="C34" s="13" t="s">
        <v>1617</v>
      </c>
      <c r="D34" s="13" t="s">
        <v>1618</v>
      </c>
      <c r="E34" s="7"/>
      <c r="F34" s="7" t="s">
        <v>868</v>
      </c>
      <c r="G34" s="7" t="str">
        <f t="shared" si="3"/>
        <v>text</v>
      </c>
      <c r="H34" s="58"/>
      <c r="I34" s="23"/>
      <c r="J34" s="24" t="s">
        <v>1641</v>
      </c>
      <c r="M34" s="4"/>
      <c r="N34" s="78"/>
      <c r="O34" s="78"/>
      <c r="P34" s="78" t="str">
        <f t="shared" si="4"/>
        <v>,irai_department_code</v>
      </c>
      <c r="Q34" s="78" t="str">
        <f t="shared" si="0"/>
        <v>TEXT</v>
      </c>
      <c r="R34" s="78" t="str">
        <f t="shared" si="1"/>
        <v/>
      </c>
      <c r="S34" s="78" t="str">
        <f t="shared" si="5"/>
        <v/>
      </c>
      <c r="T34" s="78" t="str">
        <f t="shared" si="6"/>
        <v>-- 依頼診療科コード</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milscm_2023_010.azn_202310_base_merge_mml_lb_test.irai_department_code IS '依頼診療科コード';</v>
      </c>
    </row>
    <row r="35" spans="1:52" s="25" customFormat="1">
      <c r="A35" s="4"/>
      <c r="B35" s="21">
        <f t="shared" si="2"/>
        <v>23</v>
      </c>
      <c r="C35" s="13" t="s">
        <v>1619</v>
      </c>
      <c r="D35" s="13" t="s">
        <v>1620</v>
      </c>
      <c r="E35" s="7"/>
      <c r="F35" s="7" t="s">
        <v>868</v>
      </c>
      <c r="G35" s="7" t="str">
        <f t="shared" si="3"/>
        <v>text</v>
      </c>
      <c r="H35" s="58"/>
      <c r="I35" s="23"/>
      <c r="J35" s="24" t="s">
        <v>1642</v>
      </c>
      <c r="M35" s="4"/>
      <c r="N35" s="78"/>
      <c r="O35" s="78"/>
      <c r="P35" s="78" t="str">
        <f t="shared" si="4"/>
        <v>,irai_ward</v>
      </c>
      <c r="Q35" s="78" t="str">
        <f t="shared" si="0"/>
        <v>TEXT</v>
      </c>
      <c r="R35" s="78" t="str">
        <f t="shared" si="1"/>
        <v/>
      </c>
      <c r="S35" s="78" t="str">
        <f t="shared" si="5"/>
        <v/>
      </c>
      <c r="T35" s="78" t="str">
        <f t="shared" si="6"/>
        <v>-- 依頼病棟</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milscm_2023_010.azn_202310_base_merge_mml_lb_test.irai_ward IS '依頼病棟';</v>
      </c>
    </row>
    <row r="36" spans="1:52" s="25" customFormat="1" ht="37.5">
      <c r="A36" s="4"/>
      <c r="B36" s="21">
        <f t="shared" si="2"/>
        <v>24</v>
      </c>
      <c r="C36" s="13" t="s">
        <v>1621</v>
      </c>
      <c r="D36" s="13" t="s">
        <v>1622</v>
      </c>
      <c r="E36" s="7"/>
      <c r="F36" s="7" t="s">
        <v>868</v>
      </c>
      <c r="G36" s="7" t="str">
        <f t="shared" si="3"/>
        <v>text</v>
      </c>
      <c r="H36" s="58"/>
      <c r="I36" s="23"/>
      <c r="J36" s="24" t="s">
        <v>1643</v>
      </c>
      <c r="M36" s="4"/>
      <c r="N36" s="78"/>
      <c r="O36" s="78"/>
      <c r="P36" s="78" t="str">
        <f t="shared" si="4"/>
        <v>,irai_ward_code</v>
      </c>
      <c r="Q36" s="78" t="str">
        <f t="shared" si="0"/>
        <v>TEXT</v>
      </c>
      <c r="R36" s="78" t="str">
        <f t="shared" si="1"/>
        <v/>
      </c>
      <c r="S36" s="78" t="str">
        <f t="shared" si="5"/>
        <v/>
      </c>
      <c r="T36" s="78" t="str">
        <f t="shared" si="6"/>
        <v>-- 依頼病棟コード</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milscm_2023_010.azn_202310_base_merge_mml_lb_test.irai_ward_code IS '依頼病棟コード';</v>
      </c>
    </row>
    <row r="37" spans="1:52" s="25" customFormat="1" ht="37.5">
      <c r="A37" s="4"/>
      <c r="B37" s="21">
        <f t="shared" si="2"/>
        <v>25</v>
      </c>
      <c r="C37" s="13" t="s">
        <v>1623</v>
      </c>
      <c r="D37" s="13" t="s">
        <v>1624</v>
      </c>
      <c r="E37" s="7"/>
      <c r="F37" s="7" t="s">
        <v>868</v>
      </c>
      <c r="G37" s="7" t="str">
        <f t="shared" si="3"/>
        <v>text</v>
      </c>
      <c r="H37" s="58"/>
      <c r="I37" s="23"/>
      <c r="J37" s="24" t="s">
        <v>1644</v>
      </c>
      <c r="M37" s="4"/>
      <c r="N37" s="78"/>
      <c r="O37" s="78"/>
      <c r="P37" s="78" t="str">
        <f t="shared" si="4"/>
        <v>,irai_ward_code_id</v>
      </c>
      <c r="Q37" s="78" t="str">
        <f t="shared" si="0"/>
        <v>TEXT</v>
      </c>
      <c r="R37" s="78" t="str">
        <f t="shared" si="1"/>
        <v/>
      </c>
      <c r="S37" s="78" t="str">
        <f t="shared" si="5"/>
        <v/>
      </c>
      <c r="T37" s="78" t="str">
        <f t="shared" si="6"/>
        <v>-- 依頼病棟コードID</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milscm_2023_010.azn_202310_base_merge_mml_lb_test.irai_ward_code_id IS '依頼病棟コードID';</v>
      </c>
    </row>
    <row r="38" spans="1:52" s="25" customFormat="1" ht="19.5" thickBot="1">
      <c r="A38" s="4"/>
      <c r="B38" s="27">
        <f>ROW()-12</f>
        <v>26</v>
      </c>
      <c r="C38" s="57" t="s">
        <v>1625</v>
      </c>
      <c r="D38" s="57" t="s">
        <v>1626</v>
      </c>
      <c r="E38" s="56"/>
      <c r="F38" s="56" t="s">
        <v>868</v>
      </c>
      <c r="G38" s="56" t="str">
        <f t="shared" si="3"/>
        <v>text</v>
      </c>
      <c r="H38" s="59"/>
      <c r="I38" s="60"/>
      <c r="J38" s="64" t="s">
        <v>1645</v>
      </c>
      <c r="N38" s="78"/>
      <c r="O38" s="78"/>
      <c r="P38" s="78" t="str">
        <f t="shared" si="4"/>
        <v>,report_free_comment</v>
      </c>
      <c r="Q38" s="78" t="str">
        <f t="shared" si="0"/>
        <v>TEXT</v>
      </c>
      <c r="R38" s="78" t="str">
        <f t="shared" si="1"/>
        <v/>
      </c>
      <c r="S38" s="78" t="str">
        <f t="shared" si="5"/>
        <v/>
      </c>
      <c r="T38" s="78" t="str">
        <f t="shared" si="6"/>
        <v>-- 報告フリーコメント</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milscm_2023_010.azn_202310_base_merge_mml_lb_test.report_free_comment IS '報告フリーコメント';</v>
      </c>
    </row>
    <row r="39" spans="1:52">
      <c r="L39" s="25"/>
      <c r="M39" s="25"/>
      <c r="N39" s="78" t="s">
        <v>142</v>
      </c>
      <c r="O39" s="78"/>
      <c r="P39" s="78"/>
      <c r="Q39" s="78"/>
      <c r="R39" s="78"/>
      <c r="S39" s="78"/>
      <c r="T39" s="78"/>
      <c r="V39" s="25"/>
      <c r="W39" s="25"/>
      <c r="X39" s="25"/>
      <c r="Y39" s="25"/>
      <c r="Z39" s="25"/>
      <c r="AJ39" s="78"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200-000000000000}"/>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AZ48"/>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ENT_31_29</v>
      </c>
      <c r="E6" s="239"/>
      <c r="F6" s="239"/>
      <c r="G6" s="239"/>
      <c r="H6" s="239"/>
      <c r="I6" s="239"/>
      <c r="J6" s="240"/>
    </row>
    <row r="7" spans="1:45">
      <c r="B7" s="228" t="s">
        <v>115</v>
      </c>
      <c r="C7" s="229"/>
      <c r="D7" s="230" t="s">
        <v>3742</v>
      </c>
      <c r="E7" s="231"/>
      <c r="F7" s="231"/>
      <c r="G7" s="231"/>
      <c r="H7" s="231"/>
      <c r="I7" s="231"/>
      <c r="J7" s="232"/>
    </row>
    <row r="8" spans="1:45">
      <c r="B8" s="228" t="s">
        <v>116</v>
      </c>
      <c r="C8" s="229"/>
      <c r="D8" s="230" t="str">
        <f>エンティティ一覧!AE2&amp;"_"&amp;D5&amp;"_merge_mml_lb_specimen"</f>
        <v>azn_202310_base_merge_mml_lb_specimen</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milscm_2023_010.azn_202310_base_merge_mml_lb_specimen;</v>
      </c>
      <c r="O10" s="78"/>
      <c r="P10" s="78"/>
      <c r="Q10" s="78"/>
      <c r="R10" s="78"/>
      <c r="S10" s="78"/>
      <c r="T10" s="78"/>
      <c r="AJ10" s="78" t="str">
        <f>"ALTER TABLE ONLY "&amp;エンティティ一覧!$O$2&amp;"."&amp;D$8</f>
        <v>ALTER TABLE ONLY milscm_2023_010.azn_202310_base_merge_mml_lb_specimen</v>
      </c>
      <c r="AS10" s="78" t="str">
        <f>"ALTER TABLE "&amp;エンティティ一覧!$O$2&amp;"."&amp;D$8&amp;" OWNER TO pgmisgrp1;"</f>
        <v>ALTER TABLE milscm_2023_010.azn_202310_base_merge_mml_lb_specimen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milscm_2023_010.azn_202310_base_merge_mml_lb_specimen</v>
      </c>
      <c r="O11" s="78"/>
      <c r="P11" s="78"/>
      <c r="Q11" s="78"/>
      <c r="R11" s="78"/>
      <c r="S11" s="78"/>
      <c r="T11" s="78"/>
      <c r="AJ11" s="78" t="str">
        <f>"ADD CONSTRAINT "&amp;D$8&amp;"_pkey PRIMARY KEY"</f>
        <v>ADD CONSTRAINT azn_202310_base_merge_mml_lb_specimen_pkey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milscm_2023_010.azn_202310_base_merge_mml_lb_specimen IS 'ベース_検歴情報モジュール_検歴検体材料';</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26" si="0">UPPER(G13)</f>
        <v>TEXT</v>
      </c>
      <c r="R13" s="78" t="str">
        <f t="shared" ref="R13:R26"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milscm_2023_010.azn_202310_base_merge_mml_lb_specimen.torikomi_ym IS '取込年月';</v>
      </c>
    </row>
    <row r="14" spans="1:45" s="25" customFormat="1">
      <c r="A14" s="4"/>
      <c r="B14" s="21">
        <f t="shared" ref="B14:B25" si="2">ROW()-12</f>
        <v>2</v>
      </c>
      <c r="C14" s="6" t="s">
        <v>203</v>
      </c>
      <c r="D14" s="6" t="s">
        <v>204</v>
      </c>
      <c r="E14" s="8"/>
      <c r="F14" s="7" t="s">
        <v>205</v>
      </c>
      <c r="G14" s="7" t="str">
        <f t="shared" ref="G14:G26" si="3">IF(F14="フラグ","boolean",IF(F14="文字列","text",IF(F14="整数","integer",IF(F14="実数","numeric",""))))</f>
        <v>integer</v>
      </c>
      <c r="H14" s="26"/>
      <c r="I14" s="10"/>
      <c r="J14" s="11" t="s">
        <v>1327</v>
      </c>
      <c r="M14" s="4"/>
      <c r="N14" s="78"/>
      <c r="O14" s="78"/>
      <c r="P14" s="78" t="str">
        <f t="shared" ref="P14:P26"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milscm_2023_010.azn_202310_base_merge_mml_lb_specimen.mil_karute_id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26" si="5">IF(I15="○","NOT NULL","")</f>
        <v>NOT NULL</v>
      </c>
      <c r="T15" s="78" t="str">
        <f t="shared" ref="T15:T26"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milscm_2023_010.azn_202310_base_merge_mml_lb_specimen.facility_id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milscm_2023_010.azn_202310_base_merge_mml_lb_specimen.shinryo_ymd IS '診療年月日';</v>
      </c>
    </row>
    <row r="17" spans="1:52"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milscm_2023_010.azn_202310_base_merge_mml_lb_specimen.data_type IS 'データ種別';</v>
      </c>
    </row>
    <row r="18" spans="1:52"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milscm_2023_010.azn_202310_base_merge_mml_lb_specimen.master_id IS '患者ID';</v>
      </c>
    </row>
    <row r="19" spans="1:52"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milscm_2023_010.azn_202310_base_merge_mml_lb_specimen.uid IS '文書ユニークID';</v>
      </c>
    </row>
    <row r="20" spans="1:52"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milscm_2023_010.azn_202310_base_merge_mml_lb_specimen.kenreki_seq IS '検歴SEQ';</v>
      </c>
    </row>
    <row r="21" spans="1:52" s="25" customFormat="1">
      <c r="A21" s="4"/>
      <c r="B21" s="21">
        <f t="shared" si="2"/>
        <v>9</v>
      </c>
      <c r="C21" s="13" t="s">
        <v>1647</v>
      </c>
      <c r="D21" s="13" t="s">
        <v>1648</v>
      </c>
      <c r="E21" s="7" t="s">
        <v>127</v>
      </c>
      <c r="F21" s="7" t="s">
        <v>205</v>
      </c>
      <c r="G21" s="7" t="str">
        <f t="shared" si="3"/>
        <v>integer</v>
      </c>
      <c r="H21" s="58"/>
      <c r="I21" s="23" t="s">
        <v>127</v>
      </c>
      <c r="J21" s="24" t="s">
        <v>1659</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milscm_2023_010.azn_202310_base_merge_mml_lb_specimen.labo_test_seq IS '検体結果情報SEQ';</v>
      </c>
    </row>
    <row r="22" spans="1:52" s="25" customFormat="1" ht="75">
      <c r="A22" s="4"/>
      <c r="B22" s="21">
        <f t="shared" si="2"/>
        <v>10</v>
      </c>
      <c r="C22" s="13" t="s">
        <v>1649</v>
      </c>
      <c r="D22" s="13" t="s">
        <v>1650</v>
      </c>
      <c r="E22" s="7" t="s">
        <v>127</v>
      </c>
      <c r="F22" s="7" t="s">
        <v>205</v>
      </c>
      <c r="G22" s="7" t="str">
        <f t="shared" si="3"/>
        <v>integer</v>
      </c>
      <c r="H22" s="58">
        <v>1</v>
      </c>
      <c r="I22" s="23" t="s">
        <v>127</v>
      </c>
      <c r="J22" s="24" t="s">
        <v>1660</v>
      </c>
      <c r="M22" s="4"/>
      <c r="N22" s="78"/>
      <c r="O22" s="78"/>
      <c r="P22" s="78" t="str">
        <f t="shared" si="4"/>
        <v>,specimen_seq</v>
      </c>
      <c r="Q22" s="78" t="str">
        <f t="shared" si="0"/>
        <v>INTEGER</v>
      </c>
      <c r="R22" s="78" t="str">
        <f t="shared" si="1"/>
        <v>default 1</v>
      </c>
      <c r="S22" s="78" t="str">
        <f t="shared" si="5"/>
        <v>NOT NULL</v>
      </c>
      <c r="T22" s="78" t="str">
        <f t="shared" si="6"/>
        <v>-- 検体材料SEQ</v>
      </c>
      <c r="U22" s="4"/>
      <c r="AA22" s="4"/>
      <c r="AB22" s="4"/>
      <c r="AC22" s="4"/>
      <c r="AD22" s="4"/>
      <c r="AE22" s="4"/>
      <c r="AF22" s="4"/>
      <c r="AG22" s="4"/>
      <c r="AH22" s="4"/>
      <c r="AI22" s="4"/>
      <c r="AJ22" s="78" t="str">
        <f>IF(E22="○",IF(COUNTA(E$13:E22)=1,"",",")&amp;D22,"")</f>
        <v>,specimen_seq</v>
      </c>
      <c r="AK22" s="4"/>
      <c r="AL22" s="4"/>
      <c r="AM22" s="4"/>
      <c r="AN22" s="4"/>
      <c r="AO22" s="4"/>
      <c r="AP22" s="4"/>
      <c r="AQ22" s="4"/>
      <c r="AR22" s="4"/>
      <c r="AS22" s="78" t="str">
        <f>"COMMENT ON COLUMN "&amp;エンティティ一覧!$O$2&amp;"."&amp;D$8&amp;"."&amp;D22&amp;" IS '"&amp;C22&amp;"';"</f>
        <v>COMMENT ON COLUMN milscm_2023_010.azn_202310_base_merge_mml_lb_specimen.specimen_seq IS '検体材料SEQ';</v>
      </c>
    </row>
    <row r="23" spans="1:52" s="25" customFormat="1">
      <c r="A23" s="4"/>
      <c r="B23" s="21">
        <f t="shared" si="2"/>
        <v>11</v>
      </c>
      <c r="C23" s="13" t="s">
        <v>1651</v>
      </c>
      <c r="D23" s="13" t="s">
        <v>1652</v>
      </c>
      <c r="E23" s="7"/>
      <c r="F23" s="7" t="s">
        <v>868</v>
      </c>
      <c r="G23" s="7" t="str">
        <f t="shared" si="3"/>
        <v>text</v>
      </c>
      <c r="H23" s="58"/>
      <c r="I23" s="23"/>
      <c r="J23" s="24" t="s">
        <v>1661</v>
      </c>
      <c r="M23" s="4"/>
      <c r="N23" s="78"/>
      <c r="O23" s="78"/>
      <c r="P23" s="78" t="str">
        <f t="shared" si="4"/>
        <v>,specimen_name</v>
      </c>
      <c r="Q23" s="78" t="str">
        <f t="shared" si="0"/>
        <v>TEXT</v>
      </c>
      <c r="R23" s="78" t="str">
        <f t="shared" si="1"/>
        <v/>
      </c>
      <c r="S23" s="78" t="str">
        <f t="shared" si="5"/>
        <v/>
      </c>
      <c r="T23" s="78" t="str">
        <f t="shared" si="6"/>
        <v>-- 検体材料</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milscm_2023_010.azn_202310_base_merge_mml_lb_specimen.specimen_name IS '検体材料';</v>
      </c>
    </row>
    <row r="24" spans="1:52" s="25" customFormat="1" ht="37.5">
      <c r="A24" s="4"/>
      <c r="B24" s="21">
        <f t="shared" si="2"/>
        <v>12</v>
      </c>
      <c r="C24" s="13" t="s">
        <v>1653</v>
      </c>
      <c r="D24" s="13" t="s">
        <v>1654</v>
      </c>
      <c r="E24" s="7"/>
      <c r="F24" s="7" t="s">
        <v>868</v>
      </c>
      <c r="G24" s="7" t="str">
        <f t="shared" si="3"/>
        <v>text</v>
      </c>
      <c r="H24" s="58"/>
      <c r="I24" s="23"/>
      <c r="J24" s="24" t="s">
        <v>1662</v>
      </c>
      <c r="M24" s="4"/>
      <c r="N24" s="78"/>
      <c r="O24" s="78"/>
      <c r="P24" s="78" t="str">
        <f t="shared" si="4"/>
        <v>,sp_code</v>
      </c>
      <c r="Q24" s="78" t="str">
        <f t="shared" si="0"/>
        <v>TEXT</v>
      </c>
      <c r="R24" s="78" t="str">
        <f t="shared" si="1"/>
        <v/>
      </c>
      <c r="S24" s="78" t="str">
        <f t="shared" si="5"/>
        <v/>
      </c>
      <c r="T24" s="78" t="str">
        <f t="shared" si="6"/>
        <v>-- 検体材料コード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milscm_2023_010.azn_202310_base_merge_mml_lb_specimen.sp_code IS '検体材料コード';</v>
      </c>
    </row>
    <row r="25" spans="1:52" s="25" customFormat="1" ht="37.5">
      <c r="A25" s="4"/>
      <c r="B25" s="21">
        <f t="shared" si="2"/>
        <v>13</v>
      </c>
      <c r="C25" s="13" t="s">
        <v>1655</v>
      </c>
      <c r="D25" s="13" t="s">
        <v>1656</v>
      </c>
      <c r="E25" s="7"/>
      <c r="F25" s="7" t="s">
        <v>868</v>
      </c>
      <c r="G25" s="7" t="str">
        <f t="shared" si="3"/>
        <v>text</v>
      </c>
      <c r="H25" s="58"/>
      <c r="I25" s="23"/>
      <c r="J25" s="24" t="s">
        <v>1663</v>
      </c>
      <c r="M25" s="4"/>
      <c r="N25" s="78"/>
      <c r="O25" s="78"/>
      <c r="P25" s="78" t="str">
        <f t="shared" si="4"/>
        <v>,sp_code_id</v>
      </c>
      <c r="Q25" s="78" t="str">
        <f t="shared" si="0"/>
        <v>TEXT</v>
      </c>
      <c r="R25" s="78" t="str">
        <f t="shared" si="1"/>
        <v/>
      </c>
      <c r="S25" s="78" t="str">
        <f t="shared" si="5"/>
        <v/>
      </c>
      <c r="T25" s="78" t="str">
        <f t="shared" si="6"/>
        <v>-- 検体材料コードのテーブル名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milscm_2023_010.azn_202310_base_merge_mml_lb_specimen.sp_code_id IS '検体材料コードのテーブル名';</v>
      </c>
    </row>
    <row r="26" spans="1:52" s="25" customFormat="1" ht="19.5" thickBot="1">
      <c r="A26" s="4"/>
      <c r="B26" s="27">
        <f>ROW()-12</f>
        <v>14</v>
      </c>
      <c r="C26" s="57" t="s">
        <v>1657</v>
      </c>
      <c r="D26" s="57" t="s">
        <v>1658</v>
      </c>
      <c r="E26" s="56"/>
      <c r="F26" s="56" t="s">
        <v>868</v>
      </c>
      <c r="G26" s="56" t="str">
        <f t="shared" si="3"/>
        <v>text</v>
      </c>
      <c r="H26" s="59"/>
      <c r="I26" s="60"/>
      <c r="J26" s="64" t="s">
        <v>1664</v>
      </c>
      <c r="N26" s="78"/>
      <c r="O26" s="78"/>
      <c r="P26" s="78" t="str">
        <f t="shared" si="4"/>
        <v>,specimen_free_comment</v>
      </c>
      <c r="Q26" s="78" t="str">
        <f t="shared" si="0"/>
        <v>TEXT</v>
      </c>
      <c r="R26" s="78" t="str">
        <f t="shared" si="1"/>
        <v/>
      </c>
      <c r="S26" s="78" t="str">
        <f t="shared" si="5"/>
        <v/>
      </c>
      <c r="T26" s="78" t="str">
        <f t="shared" si="6"/>
        <v>-- 検体フリーコメント</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milscm_2023_010.azn_202310_base_merge_mml_lb_specimen.specimen_free_comment IS '検体フリーコメント';</v>
      </c>
    </row>
    <row r="27" spans="1:52">
      <c r="L27" s="25"/>
      <c r="M27" s="25"/>
      <c r="N27" s="78" t="s">
        <v>142</v>
      </c>
      <c r="O27" s="78"/>
      <c r="P27" s="78"/>
      <c r="Q27" s="78"/>
      <c r="R27" s="78"/>
      <c r="S27" s="78"/>
      <c r="T27" s="78"/>
      <c r="V27" s="25"/>
      <c r="W27" s="25"/>
      <c r="X27" s="25"/>
      <c r="Y27" s="25"/>
      <c r="Z27" s="25"/>
      <c r="AJ27" s="78"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300-000000000000}"/>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AZ62"/>
  <sheetViews>
    <sheetView showGridLines="0" zoomScale="85" zoomScaleNormal="85" workbookViewId="0"/>
  </sheetViews>
  <sheetFormatPr defaultColWidth="2.625" defaultRowHeight="18.75"/>
  <cols>
    <col min="1" max="1" width="17.75" style="4" customWidth="1"/>
    <col min="2" max="2" width="5.5" style="4" customWidth="1"/>
    <col min="3" max="3" width="28.875" style="4" customWidth="1"/>
    <col min="4" max="4" width="25.375" style="4" customWidth="1"/>
    <col min="5" max="5" width="7.375" style="4" bestFit="1" customWidth="1"/>
    <col min="6" max="7" width="14.75" style="4" bestFit="1" customWidth="1"/>
    <col min="8" max="8" width="17.5" style="4" bestFit="1" customWidth="1"/>
    <col min="9" max="9" width="11.25" style="4" bestFit="1" customWidth="1"/>
    <col min="10" max="10" width="40.625" style="12" customWidth="1"/>
    <col min="11" max="35" width="2.625" style="4"/>
    <col min="36" max="36" width="2.875" style="4" bestFit="1" customWidth="1"/>
    <col min="37" max="16384" width="2.625" style="4"/>
  </cols>
  <sheetData>
    <row r="1" spans="1:45">
      <c r="A1" s="16" t="s">
        <v>140</v>
      </c>
      <c r="B1" s="217" t="s">
        <v>110</v>
      </c>
      <c r="C1" s="218"/>
      <c r="D1" s="221" t="s">
        <v>111</v>
      </c>
      <c r="E1" s="222"/>
      <c r="F1" s="222"/>
      <c r="G1" s="213"/>
      <c r="H1" s="221" t="s">
        <v>112</v>
      </c>
      <c r="I1" s="213"/>
      <c r="J1" s="15" t="s">
        <v>113</v>
      </c>
    </row>
    <row r="2" spans="1:45" ht="19.5" thickBot="1">
      <c r="B2" s="219"/>
      <c r="C2" s="220"/>
      <c r="D2" s="223" t="s">
        <v>114</v>
      </c>
      <c r="E2" s="224"/>
      <c r="F2" s="224"/>
      <c r="G2" s="225"/>
      <c r="H2" s="226"/>
      <c r="I2" s="227"/>
      <c r="J2" s="17"/>
    </row>
    <row r="3" spans="1:45" ht="19.5" thickBot="1">
      <c r="B3" s="5"/>
      <c r="C3" s="5"/>
      <c r="D3" s="5"/>
      <c r="E3" s="5"/>
      <c r="F3" s="5"/>
      <c r="G3" s="5"/>
      <c r="H3" s="5"/>
      <c r="I3" s="5"/>
      <c r="J3" s="18"/>
    </row>
    <row r="4" spans="1:45">
      <c r="B4" s="212" t="s">
        <v>3754</v>
      </c>
      <c r="C4" s="213"/>
      <c r="D4" s="214" t="str">
        <f>VLOOKUP(D7,エンティティ一覧!A1:'エンティティ一覧'!AM10142,2,FALSE)</f>
        <v>31</v>
      </c>
      <c r="E4" s="215"/>
      <c r="F4" s="215"/>
      <c r="G4" s="215"/>
      <c r="H4" s="215"/>
      <c r="I4" s="215"/>
      <c r="J4" s="216"/>
    </row>
    <row r="5" spans="1:45">
      <c r="B5" s="228" t="s">
        <v>3755</v>
      </c>
      <c r="C5" s="229"/>
      <c r="D5" s="238" t="str">
        <f>VLOOKUP(D7,エンティティ一覧!A1:'エンティティ一覧'!AM10142,7,FALSE)</f>
        <v>base</v>
      </c>
      <c r="E5" s="239"/>
      <c r="F5" s="239"/>
      <c r="G5" s="239"/>
      <c r="H5" s="239"/>
      <c r="I5" s="239"/>
      <c r="J5" s="240"/>
    </row>
    <row r="6" spans="1:45">
      <c r="B6" s="228" t="s">
        <v>3756</v>
      </c>
      <c r="C6" s="229"/>
      <c r="D6" s="238" t="str">
        <f>VLOOKUP(D7,エンティティ一覧!A1:'エンティティ一覧'!AM10142,15,FALSE)</f>
        <v>ENT_31_30</v>
      </c>
      <c r="E6" s="239"/>
      <c r="F6" s="239"/>
      <c r="G6" s="239"/>
      <c r="H6" s="239"/>
      <c r="I6" s="239"/>
      <c r="J6" s="240"/>
    </row>
    <row r="7" spans="1:45">
      <c r="B7" s="228" t="s">
        <v>115</v>
      </c>
      <c r="C7" s="229"/>
      <c r="D7" s="230" t="s">
        <v>3743</v>
      </c>
      <c r="E7" s="231"/>
      <c r="F7" s="231"/>
      <c r="G7" s="231"/>
      <c r="H7" s="231"/>
      <c r="I7" s="231"/>
      <c r="J7" s="232"/>
    </row>
    <row r="8" spans="1:45">
      <c r="B8" s="228" t="s">
        <v>116</v>
      </c>
      <c r="C8" s="229"/>
      <c r="D8" s="230" t="str">
        <f>エンティティ一覧!AE2&amp;"_"&amp;D5&amp;"_merge_mml_lb_item"</f>
        <v>azn_202310_base_merge_mml_lb_item</v>
      </c>
      <c r="E8" s="231"/>
      <c r="F8" s="231"/>
      <c r="G8" s="231"/>
      <c r="H8" s="231"/>
      <c r="I8" s="231"/>
      <c r="J8" s="232"/>
    </row>
    <row r="9" spans="1:45" ht="19.5" customHeight="1" thickBot="1">
      <c r="B9" s="233" t="s">
        <v>117</v>
      </c>
      <c r="C9" s="234"/>
      <c r="D9" s="235"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36"/>
      <c r="F9" s="236"/>
      <c r="G9" s="236"/>
      <c r="H9" s="236"/>
      <c r="I9" s="236"/>
      <c r="J9" s="237"/>
    </row>
    <row r="10" spans="1:45">
      <c r="B10" s="19"/>
      <c r="C10" s="19"/>
      <c r="D10" s="5"/>
      <c r="E10" s="5"/>
      <c r="F10" s="5"/>
      <c r="G10" s="5"/>
      <c r="H10" s="5"/>
      <c r="I10" s="5"/>
      <c r="J10" s="18"/>
      <c r="N10" s="78" t="str">
        <f>"--DROP TABLE  "&amp;エンティティ一覧!$O$2&amp;"."&amp;D$8&amp;";"</f>
        <v>--DROP TABLE  milscm_2023_010.azn_202310_base_merge_mml_lb_item;</v>
      </c>
      <c r="O10" s="78"/>
      <c r="P10" s="78"/>
      <c r="Q10" s="78"/>
      <c r="R10" s="78"/>
      <c r="S10" s="78"/>
      <c r="T10" s="78"/>
      <c r="AJ10" s="78" t="str">
        <f>"ALTER TABLE ONLY "&amp;エンティティ一覧!$O$2&amp;"."&amp;D$8</f>
        <v>ALTER TABLE ONLY milscm_2023_010.azn_202310_base_merge_mml_lb_item</v>
      </c>
      <c r="AS10" s="78" t="str">
        <f>"ALTER TABLE "&amp;エンティティ一覧!$O$2&amp;"."&amp;D$8&amp;" OWNER TO pgmisgrp1;"</f>
        <v>ALTER TABLE milscm_2023_010.azn_202310_base_merge_mml_lb_item OWNER TO pgmisgrp1;</v>
      </c>
    </row>
    <row r="11" spans="1:45" ht="19.5" thickBot="1">
      <c r="B11" s="20" t="s">
        <v>118</v>
      </c>
      <c r="C11" s="19"/>
      <c r="D11" s="5"/>
      <c r="E11" s="5"/>
      <c r="F11" s="5"/>
      <c r="G11" s="5"/>
      <c r="H11" s="5"/>
      <c r="I11" s="5"/>
      <c r="J11" s="18"/>
      <c r="N11" s="78" t="str">
        <f>"CREATE TABLE  "&amp;エンティティ一覧!$O$2&amp;"."&amp;D$8</f>
        <v>CREATE TABLE  milscm_2023_010.azn_202310_base_merge_mml_lb_item</v>
      </c>
      <c r="O11" s="78"/>
      <c r="P11" s="78"/>
      <c r="Q11" s="78"/>
      <c r="R11" s="78"/>
      <c r="S11" s="78"/>
      <c r="T11" s="78"/>
      <c r="AJ11" s="78" t="str">
        <f>"ADD CONSTRAINT "&amp;D$8&amp;"_pkey PRIMARY KEY"</f>
        <v>ADD CONSTRAINT azn_202310_base_merge_mml_lb_item_pkey PRIMARY KEY</v>
      </c>
      <c r="AS11" s="78"/>
    </row>
    <row r="12" spans="1:45">
      <c r="B12" s="47" t="s">
        <v>119</v>
      </c>
      <c r="C12" s="48" t="s">
        <v>120</v>
      </c>
      <c r="D12" s="46" t="s">
        <v>121</v>
      </c>
      <c r="E12" s="44" t="s">
        <v>161</v>
      </c>
      <c r="F12" s="49" t="s">
        <v>122</v>
      </c>
      <c r="G12" s="49" t="s">
        <v>123</v>
      </c>
      <c r="H12" s="44" t="s">
        <v>124</v>
      </c>
      <c r="I12" s="44" t="s">
        <v>125</v>
      </c>
      <c r="J12" s="45" t="s">
        <v>126</v>
      </c>
      <c r="N12" s="78" t="s">
        <v>141</v>
      </c>
      <c r="O12" s="78"/>
      <c r="P12" s="78"/>
      <c r="Q12" s="78"/>
      <c r="R12" s="78"/>
      <c r="S12" s="78"/>
      <c r="T12" s="78"/>
      <c r="AJ12" s="78" t="s">
        <v>141</v>
      </c>
      <c r="AS12" s="78" t="str">
        <f>"COMMENT ON TABLE "&amp;エンティティ一覧!$O$2&amp;"."&amp;D$8&amp;" IS '"&amp;D7&amp;"';"</f>
        <v>COMMENT ON TABLE milscm_2023_010.azn_202310_base_merge_mml_lb_item IS 'ベース_検歴情報モジュール_検歴項目情報';</v>
      </c>
    </row>
    <row r="13" spans="1:45" s="25" customFormat="1">
      <c r="A13" s="4"/>
      <c r="B13" s="21">
        <f>ROW()-12</f>
        <v>1</v>
      </c>
      <c r="C13" s="6" t="s">
        <v>867</v>
      </c>
      <c r="D13" s="6" t="s">
        <v>201</v>
      </c>
      <c r="E13" s="8"/>
      <c r="F13" s="8" t="s">
        <v>868</v>
      </c>
      <c r="G13" s="7" t="str">
        <f>IF(F13="フラグ","boolean",IF(F13="文字列","text",IF(F13="整数","integer",IF(F13="実数","numeric",""))))</f>
        <v>text</v>
      </c>
      <c r="H13" s="9"/>
      <c r="I13" s="10" t="s">
        <v>127</v>
      </c>
      <c r="J13" s="11" t="s">
        <v>809</v>
      </c>
      <c r="M13" s="4"/>
      <c r="N13" s="78"/>
      <c r="O13" s="78"/>
      <c r="P13" s="78" t="str">
        <f>IF(B13&lt;&gt;1,","&amp;D13,D13)</f>
        <v>torikomi_ym</v>
      </c>
      <c r="Q13" s="78" t="str">
        <f t="shared" ref="Q13:Q40" si="0">UPPER(G13)</f>
        <v>TEXT</v>
      </c>
      <c r="R13" s="78" t="str">
        <f t="shared" ref="R13:R40" si="1">IF(H13&lt;&gt;"","default "&amp;IF(G13="text","'"&amp;H13&amp;"'",H13),"")</f>
        <v/>
      </c>
      <c r="S13" s="78" t="str">
        <f>IF(I13="○","NOT NULL","")</f>
        <v>NOT NULL</v>
      </c>
      <c r="T13" s="78" t="str">
        <f>"-- "&amp;C13</f>
        <v>-- 取込年月</v>
      </c>
      <c r="U13" s="4"/>
      <c r="AA13" s="4"/>
      <c r="AB13" s="4"/>
      <c r="AC13" s="4"/>
      <c r="AD13" s="4"/>
      <c r="AE13" s="4"/>
      <c r="AF13" s="4"/>
      <c r="AG13" s="4"/>
      <c r="AH13" s="4"/>
      <c r="AI13" s="4"/>
      <c r="AJ13" s="78" t="str">
        <f>IF(E13="○",IF(COUNTA(E$13:E13)=1,"",",")&amp;D13,"")</f>
        <v/>
      </c>
      <c r="AK13" s="4"/>
      <c r="AL13" s="4"/>
      <c r="AM13" s="4"/>
      <c r="AN13" s="4"/>
      <c r="AO13" s="4"/>
      <c r="AP13" s="4"/>
      <c r="AQ13" s="4"/>
      <c r="AR13" s="4"/>
      <c r="AS13" s="78" t="str">
        <f>"COMMENT ON COLUMN "&amp;エンティティ一覧!$O$2&amp;"."&amp;D$8&amp;"."&amp;D13&amp;" IS '"&amp;C13&amp;"';"</f>
        <v>COMMENT ON COLUMN milscm_2023_010.azn_202310_base_merge_mml_lb_item.torikomi_ym IS '取込年月';</v>
      </c>
    </row>
    <row r="14" spans="1:45" s="25" customFormat="1">
      <c r="A14" s="4"/>
      <c r="B14" s="21">
        <f t="shared" ref="B14:B39" si="2">ROW()-12</f>
        <v>2</v>
      </c>
      <c r="C14" s="6" t="s">
        <v>203</v>
      </c>
      <c r="D14" s="6" t="s">
        <v>204</v>
      </c>
      <c r="E14" s="8"/>
      <c r="F14" s="7" t="s">
        <v>205</v>
      </c>
      <c r="G14" s="7" t="str">
        <f t="shared" ref="G14:G40" si="3">IF(F14="フラグ","boolean",IF(F14="文字列","text",IF(F14="整数","integer",IF(F14="実数","numeric",""))))</f>
        <v>integer</v>
      </c>
      <c r="H14" s="26"/>
      <c r="I14" s="10"/>
      <c r="J14" s="11" t="s">
        <v>1327</v>
      </c>
      <c r="M14" s="4"/>
      <c r="N14" s="78"/>
      <c r="O14" s="78"/>
      <c r="P14" s="78" t="str">
        <f t="shared" ref="P14:P40" si="4">IF(B14&lt;&gt;1,","&amp;D14,D14)</f>
        <v>,mil_karute_id</v>
      </c>
      <c r="Q14" s="78" t="str">
        <f t="shared" si="0"/>
        <v>INTEGER</v>
      </c>
      <c r="R14" s="78" t="str">
        <f t="shared" si="1"/>
        <v/>
      </c>
      <c r="S14" s="78" t="str">
        <f>IF(I14="○","NOT NULL","")</f>
        <v/>
      </c>
      <c r="T14" s="78" t="str">
        <f>"-- "&amp;C14</f>
        <v>-- 千年カルテID</v>
      </c>
      <c r="U14" s="4"/>
      <c r="AA14" s="4"/>
      <c r="AB14" s="4"/>
      <c r="AC14" s="4"/>
      <c r="AD14" s="4"/>
      <c r="AE14" s="4"/>
      <c r="AF14" s="4"/>
      <c r="AG14" s="4"/>
      <c r="AH14" s="4"/>
      <c r="AI14" s="4"/>
      <c r="AJ14" s="78" t="str">
        <f>IF(E14="○",IF(COUNTA(E$13:E14)=1,"",",")&amp;D14,"")</f>
        <v/>
      </c>
      <c r="AK14" s="4"/>
      <c r="AL14" s="4"/>
      <c r="AM14" s="4"/>
      <c r="AN14" s="4"/>
      <c r="AO14" s="4"/>
      <c r="AP14" s="4"/>
      <c r="AQ14" s="4"/>
      <c r="AR14" s="4"/>
      <c r="AS14" s="78" t="str">
        <f>"COMMENT ON COLUMN "&amp;エンティティ一覧!$O$2&amp;"."&amp;D$8&amp;"."&amp;D14&amp;" IS '"&amp;C14&amp;"';"</f>
        <v>COMMENT ON COLUMN milscm_2023_010.azn_202310_base_merge_mml_lb_item.mil_karute_id IS '千年カルテID';</v>
      </c>
    </row>
    <row r="15" spans="1:45" s="25" customFormat="1" ht="75">
      <c r="A15" s="4"/>
      <c r="B15" s="21">
        <f t="shared" si="2"/>
        <v>3</v>
      </c>
      <c r="C15" s="13" t="s">
        <v>137</v>
      </c>
      <c r="D15" s="13" t="s">
        <v>128</v>
      </c>
      <c r="E15" s="7" t="s">
        <v>127</v>
      </c>
      <c r="F15" s="7" t="s">
        <v>868</v>
      </c>
      <c r="G15" s="7" t="str">
        <f t="shared" si="3"/>
        <v>text</v>
      </c>
      <c r="H15" s="58"/>
      <c r="I15" s="23" t="s">
        <v>127</v>
      </c>
      <c r="J15" s="24" t="s">
        <v>1328</v>
      </c>
      <c r="M15" s="4"/>
      <c r="N15" s="78"/>
      <c r="O15" s="78"/>
      <c r="P15" s="78" t="str">
        <f t="shared" si="4"/>
        <v>,facility_id</v>
      </c>
      <c r="Q15" s="78" t="str">
        <f t="shared" si="0"/>
        <v>TEXT</v>
      </c>
      <c r="R15" s="78" t="str">
        <f t="shared" si="1"/>
        <v/>
      </c>
      <c r="S15" s="78" t="str">
        <f t="shared" ref="S15:S40" si="5">IF(I15="○","NOT NULL","")</f>
        <v>NOT NULL</v>
      </c>
      <c r="T15" s="78" t="str">
        <f t="shared" ref="T15:T40" si="6">"-- "&amp;C15</f>
        <v>-- 施設ID</v>
      </c>
      <c r="U15" s="4"/>
      <c r="AA15" s="4"/>
      <c r="AB15" s="4"/>
      <c r="AC15" s="4"/>
      <c r="AD15" s="4"/>
      <c r="AE15" s="4"/>
      <c r="AF15" s="4"/>
      <c r="AG15" s="4"/>
      <c r="AH15" s="4"/>
      <c r="AI15" s="4"/>
      <c r="AJ15" s="78" t="str">
        <f>IF(E15="○",IF(COUNTA(E$13:E15)=1,"",",")&amp;D15,"")</f>
        <v>facility_id</v>
      </c>
      <c r="AK15" s="4"/>
      <c r="AL15" s="4"/>
      <c r="AM15" s="4"/>
      <c r="AN15" s="4"/>
      <c r="AO15" s="4"/>
      <c r="AP15" s="4"/>
      <c r="AQ15" s="4"/>
      <c r="AR15" s="4"/>
      <c r="AS15" s="78" t="str">
        <f>"COMMENT ON COLUMN "&amp;エンティティ一覧!$O$2&amp;"."&amp;D$8&amp;"."&amp;D15&amp;" IS '"&amp;C15&amp;"';"</f>
        <v>COMMENT ON COLUMN milscm_2023_010.azn_202310_base_merge_mml_lb_item.facility_id IS '施設ID';</v>
      </c>
    </row>
    <row r="16" spans="1:45" s="25" customFormat="1" ht="75">
      <c r="A16" s="4"/>
      <c r="B16" s="21">
        <f t="shared" si="2"/>
        <v>4</v>
      </c>
      <c r="C16" s="13" t="s">
        <v>1287</v>
      </c>
      <c r="D16" s="13" t="s">
        <v>1288</v>
      </c>
      <c r="E16" s="7"/>
      <c r="F16" s="7" t="s">
        <v>868</v>
      </c>
      <c r="G16" s="7" t="str">
        <f t="shared" si="3"/>
        <v>text</v>
      </c>
      <c r="H16" s="58"/>
      <c r="I16" s="23" t="s">
        <v>127</v>
      </c>
      <c r="J16" s="24" t="s">
        <v>1356</v>
      </c>
      <c r="M16" s="4"/>
      <c r="N16" s="78"/>
      <c r="O16" s="78"/>
      <c r="P16" s="78" t="str">
        <f t="shared" si="4"/>
        <v>,shinryo_ymd</v>
      </c>
      <c r="Q16" s="78" t="str">
        <f t="shared" si="0"/>
        <v>TEXT</v>
      </c>
      <c r="R16" s="78" t="str">
        <f t="shared" si="1"/>
        <v/>
      </c>
      <c r="S16" s="78" t="str">
        <f t="shared" si="5"/>
        <v>NOT NULL</v>
      </c>
      <c r="T16" s="78" t="str">
        <f t="shared" si="6"/>
        <v>-- 診療年月日</v>
      </c>
      <c r="U16" s="4"/>
      <c r="AA16" s="4"/>
      <c r="AB16" s="4"/>
      <c r="AC16" s="4"/>
      <c r="AD16" s="4"/>
      <c r="AE16" s="4"/>
      <c r="AF16" s="4"/>
      <c r="AG16" s="4"/>
      <c r="AH16" s="4"/>
      <c r="AI16" s="4"/>
      <c r="AJ16" s="78" t="str">
        <f>IF(E16="○",IF(COUNTA(E$13:E16)=1,"",",")&amp;D16,"")</f>
        <v/>
      </c>
      <c r="AK16" s="4"/>
      <c r="AL16" s="4"/>
      <c r="AM16" s="4"/>
      <c r="AN16" s="4"/>
      <c r="AO16" s="4"/>
      <c r="AP16" s="4"/>
      <c r="AQ16" s="4"/>
      <c r="AR16" s="4"/>
      <c r="AS16" s="78" t="str">
        <f>"COMMENT ON COLUMN "&amp;エンティティ一覧!$O$2&amp;"."&amp;D$8&amp;"."&amp;D16&amp;" IS '"&amp;C16&amp;"';"</f>
        <v>COMMENT ON COLUMN milscm_2023_010.azn_202310_base_merge_mml_lb_item.shinryo_ymd IS '診療年月日';</v>
      </c>
    </row>
    <row r="17" spans="1:45" s="25" customFormat="1">
      <c r="A17" s="4"/>
      <c r="B17" s="21">
        <f t="shared" si="2"/>
        <v>5</v>
      </c>
      <c r="C17" s="13" t="s">
        <v>1345</v>
      </c>
      <c r="D17" s="13" t="s">
        <v>209</v>
      </c>
      <c r="E17" s="7"/>
      <c r="F17" s="7" t="s">
        <v>868</v>
      </c>
      <c r="G17" s="7" t="str">
        <f t="shared" si="3"/>
        <v>text</v>
      </c>
      <c r="H17" s="58" t="s">
        <v>1330</v>
      </c>
      <c r="I17" s="23" t="s">
        <v>127</v>
      </c>
      <c r="J17" s="24" t="s">
        <v>1331</v>
      </c>
      <c r="M17" s="4"/>
      <c r="N17" s="78"/>
      <c r="O17" s="78"/>
      <c r="P17" s="78" t="str">
        <f t="shared" si="4"/>
        <v>,data_type</v>
      </c>
      <c r="Q17" s="78" t="str">
        <f t="shared" si="0"/>
        <v>TEXT</v>
      </c>
      <c r="R17" s="78" t="str">
        <f t="shared" si="1"/>
        <v>default 'MML'</v>
      </c>
      <c r="S17" s="78" t="str">
        <f t="shared" si="5"/>
        <v>NOT NULL</v>
      </c>
      <c r="T17" s="78" t="str">
        <f t="shared" si="6"/>
        <v>-- データ種別</v>
      </c>
      <c r="U17" s="4"/>
      <c r="AA17" s="4"/>
      <c r="AB17" s="4"/>
      <c r="AC17" s="4"/>
      <c r="AD17" s="4"/>
      <c r="AE17" s="4"/>
      <c r="AF17" s="4"/>
      <c r="AG17" s="4"/>
      <c r="AH17" s="4"/>
      <c r="AI17" s="4"/>
      <c r="AJ17" s="78" t="str">
        <f>IF(E17="○",IF(COUNTA(E$13:E17)=1,"",",")&amp;D17,"")</f>
        <v/>
      </c>
      <c r="AK17" s="4"/>
      <c r="AL17" s="4"/>
      <c r="AM17" s="4"/>
      <c r="AN17" s="4"/>
      <c r="AO17" s="4"/>
      <c r="AP17" s="4"/>
      <c r="AQ17" s="4"/>
      <c r="AR17" s="4"/>
      <c r="AS17" s="78" t="str">
        <f>"COMMENT ON COLUMN "&amp;エンティティ一覧!$O$2&amp;"."&amp;D$8&amp;"."&amp;D17&amp;" IS '"&amp;C17&amp;"';"</f>
        <v>COMMENT ON COLUMN milscm_2023_010.azn_202310_base_merge_mml_lb_item.data_type IS 'データ種別';</v>
      </c>
    </row>
    <row r="18" spans="1:45" s="25" customFormat="1" ht="37.5">
      <c r="A18" s="4"/>
      <c r="B18" s="21">
        <f t="shared" si="2"/>
        <v>6</v>
      </c>
      <c r="C18" s="13" t="s">
        <v>1290</v>
      </c>
      <c r="D18" s="13" t="s">
        <v>1291</v>
      </c>
      <c r="E18" s="7" t="s">
        <v>127</v>
      </c>
      <c r="F18" s="7" t="s">
        <v>868</v>
      </c>
      <c r="G18" s="7" t="str">
        <f t="shared" si="3"/>
        <v>text</v>
      </c>
      <c r="H18" s="58"/>
      <c r="I18" s="23" t="s">
        <v>127</v>
      </c>
      <c r="J18" s="24" t="s">
        <v>1332</v>
      </c>
      <c r="M18" s="4"/>
      <c r="N18" s="78"/>
      <c r="O18" s="78"/>
      <c r="P18" s="78" t="str">
        <f t="shared" si="4"/>
        <v>,master_id</v>
      </c>
      <c r="Q18" s="78" t="str">
        <f t="shared" si="0"/>
        <v>TEXT</v>
      </c>
      <c r="R18" s="78" t="str">
        <f t="shared" si="1"/>
        <v/>
      </c>
      <c r="S18" s="78" t="str">
        <f t="shared" si="5"/>
        <v>NOT NULL</v>
      </c>
      <c r="T18" s="78" t="str">
        <f t="shared" si="6"/>
        <v>-- 患者ID</v>
      </c>
      <c r="U18" s="4"/>
      <c r="AA18" s="4"/>
      <c r="AB18" s="4"/>
      <c r="AC18" s="4"/>
      <c r="AD18" s="4"/>
      <c r="AE18" s="4"/>
      <c r="AF18" s="4"/>
      <c r="AG18" s="4"/>
      <c r="AH18" s="4"/>
      <c r="AI18" s="4"/>
      <c r="AJ18" s="78" t="str">
        <f>IF(E18="○",IF(COUNTA(E$13:E18)=1,"",",")&amp;D18,"")</f>
        <v>,master_id</v>
      </c>
      <c r="AK18" s="4"/>
      <c r="AL18" s="4"/>
      <c r="AM18" s="4"/>
      <c r="AN18" s="4"/>
      <c r="AO18" s="4"/>
      <c r="AP18" s="4"/>
      <c r="AQ18" s="4"/>
      <c r="AR18" s="4"/>
      <c r="AS18" s="78" t="str">
        <f>"COMMENT ON COLUMN "&amp;エンティティ一覧!$O$2&amp;"."&amp;D$8&amp;"."&amp;D18&amp;" IS '"&amp;C18&amp;"';"</f>
        <v>COMMENT ON COLUMN milscm_2023_010.azn_202310_base_merge_mml_lb_item.master_id IS '患者ID';</v>
      </c>
    </row>
    <row r="19" spans="1:45" s="25" customFormat="1" ht="37.5">
      <c r="A19" s="4"/>
      <c r="B19" s="21">
        <f t="shared" si="2"/>
        <v>7</v>
      </c>
      <c r="C19" s="13" t="s">
        <v>1292</v>
      </c>
      <c r="D19" s="13" t="s">
        <v>1293</v>
      </c>
      <c r="E19" s="7" t="s">
        <v>127</v>
      </c>
      <c r="F19" s="7" t="s">
        <v>868</v>
      </c>
      <c r="G19" s="7" t="str">
        <f t="shared" si="3"/>
        <v>text</v>
      </c>
      <c r="H19" s="58"/>
      <c r="I19" s="23" t="s">
        <v>127</v>
      </c>
      <c r="J19" s="24" t="s">
        <v>1333</v>
      </c>
      <c r="M19" s="4"/>
      <c r="N19" s="78"/>
      <c r="O19" s="78"/>
      <c r="P19" s="78" t="str">
        <f t="shared" si="4"/>
        <v>,uid</v>
      </c>
      <c r="Q19" s="78" t="str">
        <f t="shared" si="0"/>
        <v>TEXT</v>
      </c>
      <c r="R19" s="78" t="str">
        <f t="shared" si="1"/>
        <v/>
      </c>
      <c r="S19" s="78" t="str">
        <f t="shared" si="5"/>
        <v>NOT NULL</v>
      </c>
      <c r="T19" s="78" t="str">
        <f t="shared" si="6"/>
        <v>-- 文書ユニークID</v>
      </c>
      <c r="U19" s="4"/>
      <c r="AA19" s="4"/>
      <c r="AB19" s="4"/>
      <c r="AC19" s="4"/>
      <c r="AD19" s="4"/>
      <c r="AE19" s="4"/>
      <c r="AF19" s="4"/>
      <c r="AG19" s="4"/>
      <c r="AH19" s="4"/>
      <c r="AI19" s="4"/>
      <c r="AJ19" s="78" t="str">
        <f>IF(E19="○",IF(COUNTA(E$13:E19)=1,"",",")&amp;D19,"")</f>
        <v>,uid</v>
      </c>
      <c r="AK19" s="4"/>
      <c r="AL19" s="4"/>
      <c r="AM19" s="4"/>
      <c r="AN19" s="4"/>
      <c r="AO19" s="4"/>
      <c r="AP19" s="4"/>
      <c r="AQ19" s="4"/>
      <c r="AR19" s="4"/>
      <c r="AS19" s="78" t="str">
        <f>"COMMENT ON COLUMN "&amp;エンティティ一覧!$O$2&amp;"."&amp;D$8&amp;"."&amp;D19&amp;" IS '"&amp;C19&amp;"';"</f>
        <v>COMMENT ON COLUMN milscm_2023_010.azn_202310_base_merge_mml_lb_item.uid IS '文書ユニークID';</v>
      </c>
    </row>
    <row r="20" spans="1:45" s="25" customFormat="1">
      <c r="A20" s="4"/>
      <c r="B20" s="21">
        <f t="shared" si="2"/>
        <v>8</v>
      </c>
      <c r="C20" s="13" t="s">
        <v>1589</v>
      </c>
      <c r="D20" s="13" t="s">
        <v>1590</v>
      </c>
      <c r="E20" s="7" t="s">
        <v>127</v>
      </c>
      <c r="F20" s="7" t="s">
        <v>205</v>
      </c>
      <c r="G20" s="7" t="str">
        <f t="shared" si="3"/>
        <v>integer</v>
      </c>
      <c r="H20" s="58"/>
      <c r="I20" s="23" t="s">
        <v>127</v>
      </c>
      <c r="J20" s="24" t="s">
        <v>1627</v>
      </c>
      <c r="M20" s="4"/>
      <c r="N20" s="78"/>
      <c r="O20" s="78"/>
      <c r="P20" s="78" t="str">
        <f t="shared" si="4"/>
        <v>,kenreki_seq</v>
      </c>
      <c r="Q20" s="78" t="str">
        <f t="shared" si="0"/>
        <v>INTEGER</v>
      </c>
      <c r="R20" s="78" t="str">
        <f t="shared" si="1"/>
        <v/>
      </c>
      <c r="S20" s="78" t="str">
        <f t="shared" si="5"/>
        <v>NOT NULL</v>
      </c>
      <c r="T20" s="78" t="str">
        <f t="shared" si="6"/>
        <v>-- 検歴SEQ</v>
      </c>
      <c r="U20" s="4"/>
      <c r="AA20" s="4"/>
      <c r="AB20" s="4"/>
      <c r="AC20" s="4"/>
      <c r="AD20" s="4"/>
      <c r="AE20" s="4"/>
      <c r="AF20" s="4"/>
      <c r="AG20" s="4"/>
      <c r="AH20" s="4"/>
      <c r="AI20" s="4"/>
      <c r="AJ20" s="78" t="str">
        <f>IF(E20="○",IF(COUNTA(E$13:E20)=1,"",",")&amp;D20,"")</f>
        <v>,kenreki_seq</v>
      </c>
      <c r="AK20" s="4"/>
      <c r="AL20" s="4"/>
      <c r="AM20" s="4"/>
      <c r="AN20" s="4"/>
      <c r="AO20" s="4"/>
      <c r="AP20" s="4"/>
      <c r="AQ20" s="4"/>
      <c r="AR20" s="4"/>
      <c r="AS20" s="78" t="str">
        <f>"COMMENT ON COLUMN "&amp;エンティティ一覧!$O$2&amp;"."&amp;D$8&amp;"."&amp;D20&amp;" IS '"&amp;C20&amp;"';"</f>
        <v>COMMENT ON COLUMN milscm_2023_010.azn_202310_base_merge_mml_lb_item.kenreki_seq IS '検歴SEQ';</v>
      </c>
    </row>
    <row r="21" spans="1:45" s="25" customFormat="1">
      <c r="A21" s="4"/>
      <c r="B21" s="21">
        <f t="shared" si="2"/>
        <v>9</v>
      </c>
      <c r="C21" s="13" t="s">
        <v>1647</v>
      </c>
      <c r="D21" s="13" t="s">
        <v>1648</v>
      </c>
      <c r="E21" s="7" t="s">
        <v>127</v>
      </c>
      <c r="F21" s="7" t="s">
        <v>205</v>
      </c>
      <c r="G21" s="7" t="str">
        <f t="shared" si="3"/>
        <v>integer</v>
      </c>
      <c r="H21" s="58"/>
      <c r="I21" s="23" t="s">
        <v>127</v>
      </c>
      <c r="J21" s="24" t="s">
        <v>1703</v>
      </c>
      <c r="M21" s="4"/>
      <c r="N21" s="78"/>
      <c r="O21" s="78"/>
      <c r="P21" s="78" t="str">
        <f t="shared" si="4"/>
        <v>,labo_test_seq</v>
      </c>
      <c r="Q21" s="78" t="str">
        <f t="shared" si="0"/>
        <v>INTEGER</v>
      </c>
      <c r="R21" s="78" t="str">
        <f t="shared" si="1"/>
        <v/>
      </c>
      <c r="S21" s="78" t="str">
        <f t="shared" si="5"/>
        <v>NOT NULL</v>
      </c>
      <c r="T21" s="78" t="str">
        <f t="shared" si="6"/>
        <v>-- 検体結果情報SEQ</v>
      </c>
      <c r="U21" s="4"/>
      <c r="AA21" s="4"/>
      <c r="AB21" s="4"/>
      <c r="AC21" s="4"/>
      <c r="AD21" s="4"/>
      <c r="AE21" s="4"/>
      <c r="AF21" s="4"/>
      <c r="AG21" s="4"/>
      <c r="AH21" s="4"/>
      <c r="AI21" s="4"/>
      <c r="AJ21" s="78" t="str">
        <f>IF(E21="○",IF(COUNTA(E$13:E21)=1,"",",")&amp;D21,"")</f>
        <v>,labo_test_seq</v>
      </c>
      <c r="AK21" s="4"/>
      <c r="AL21" s="4"/>
      <c r="AM21" s="4"/>
      <c r="AN21" s="4"/>
      <c r="AO21" s="4"/>
      <c r="AP21" s="4"/>
      <c r="AQ21" s="4"/>
      <c r="AR21" s="4"/>
      <c r="AS21" s="78" t="str">
        <f>"COMMENT ON COLUMN "&amp;エンティティ一覧!$O$2&amp;"."&amp;D$8&amp;"."&amp;D21&amp;" IS '"&amp;C21&amp;"';"</f>
        <v>COMMENT ON COLUMN milscm_2023_010.azn_202310_base_merge_mml_lb_item.labo_test_seq IS '検体結果情報SEQ';</v>
      </c>
    </row>
    <row r="22" spans="1:45" s="25" customFormat="1">
      <c r="A22" s="4"/>
      <c r="B22" s="21">
        <f t="shared" si="2"/>
        <v>10</v>
      </c>
      <c r="C22" s="13" t="s">
        <v>1666</v>
      </c>
      <c r="D22" s="13" t="s">
        <v>1667</v>
      </c>
      <c r="E22" s="7" t="s">
        <v>127</v>
      </c>
      <c r="F22" s="7" t="s">
        <v>205</v>
      </c>
      <c r="G22" s="7" t="str">
        <f t="shared" si="3"/>
        <v>integer</v>
      </c>
      <c r="H22" s="58"/>
      <c r="I22" s="23" t="s">
        <v>127</v>
      </c>
      <c r="J22" s="24" t="s">
        <v>1704</v>
      </c>
      <c r="M22" s="4"/>
      <c r="N22" s="78"/>
      <c r="O22" s="78"/>
      <c r="P22" s="78" t="str">
        <f t="shared" si="4"/>
        <v>,item_info_seq</v>
      </c>
      <c r="Q22" s="78" t="str">
        <f t="shared" si="0"/>
        <v>INTEGER</v>
      </c>
      <c r="R22" s="78" t="str">
        <f t="shared" si="1"/>
        <v/>
      </c>
      <c r="S22" s="78" t="str">
        <f t="shared" si="5"/>
        <v>NOT NULL</v>
      </c>
      <c r="T22" s="78" t="str">
        <f t="shared" si="6"/>
        <v>-- 項目情報SEQ</v>
      </c>
      <c r="U22" s="4"/>
      <c r="AA22" s="4"/>
      <c r="AB22" s="4"/>
      <c r="AC22" s="4"/>
      <c r="AD22" s="4"/>
      <c r="AE22" s="4"/>
      <c r="AF22" s="4"/>
      <c r="AG22" s="4"/>
      <c r="AH22" s="4"/>
      <c r="AI22" s="4"/>
      <c r="AJ22" s="78" t="str">
        <f>IF(E22="○",IF(COUNTA(E$13:E22)=1,"",",")&amp;D22,"")</f>
        <v>,item_info_seq</v>
      </c>
      <c r="AK22" s="4"/>
      <c r="AL22" s="4"/>
      <c r="AM22" s="4"/>
      <c r="AN22" s="4"/>
      <c r="AO22" s="4"/>
      <c r="AP22" s="4"/>
      <c r="AQ22" s="4"/>
      <c r="AR22" s="4"/>
      <c r="AS22" s="78" t="str">
        <f>"COMMENT ON COLUMN "&amp;エンティティ一覧!$O$2&amp;"."&amp;D$8&amp;"."&amp;D22&amp;" IS '"&amp;C22&amp;"';"</f>
        <v>COMMENT ON COLUMN milscm_2023_010.azn_202310_base_merge_mml_lb_item.item_info_seq IS '項目情報SEQ';</v>
      </c>
    </row>
    <row r="23" spans="1:45" s="25" customFormat="1">
      <c r="A23" s="4"/>
      <c r="B23" s="21">
        <f t="shared" si="2"/>
        <v>11</v>
      </c>
      <c r="C23" s="13" t="s">
        <v>1668</v>
      </c>
      <c r="D23" s="13" t="s">
        <v>1669</v>
      </c>
      <c r="E23" s="7"/>
      <c r="F23" s="7" t="s">
        <v>868</v>
      </c>
      <c r="G23" s="7" t="str">
        <f t="shared" si="3"/>
        <v>text</v>
      </c>
      <c r="H23" s="58"/>
      <c r="I23" s="23"/>
      <c r="J23" s="24" t="s">
        <v>1705</v>
      </c>
      <c r="M23" s="4"/>
      <c r="N23" s="78"/>
      <c r="O23" s="78"/>
      <c r="P23" s="78" t="str">
        <f t="shared" si="4"/>
        <v>,item_name</v>
      </c>
      <c r="Q23" s="78" t="str">
        <f t="shared" si="0"/>
        <v>TEXT</v>
      </c>
      <c r="R23" s="78" t="str">
        <f t="shared" si="1"/>
        <v/>
      </c>
      <c r="S23" s="78" t="str">
        <f t="shared" si="5"/>
        <v/>
      </c>
      <c r="T23" s="78" t="str">
        <f t="shared" si="6"/>
        <v>-- 項目名</v>
      </c>
      <c r="U23" s="4"/>
      <c r="AA23" s="4"/>
      <c r="AB23" s="4"/>
      <c r="AC23" s="4"/>
      <c r="AD23" s="4"/>
      <c r="AE23" s="4"/>
      <c r="AF23" s="4"/>
      <c r="AG23" s="4"/>
      <c r="AH23" s="4"/>
      <c r="AI23" s="4"/>
      <c r="AJ23" s="78" t="str">
        <f>IF(E23="○",IF(COUNTA(E$13:E23)=1,"",",")&amp;D23,"")</f>
        <v/>
      </c>
      <c r="AK23" s="4"/>
      <c r="AL23" s="4"/>
      <c r="AM23" s="4"/>
      <c r="AN23" s="4"/>
      <c r="AO23" s="4"/>
      <c r="AP23" s="4"/>
      <c r="AQ23" s="4"/>
      <c r="AR23" s="4"/>
      <c r="AS23" s="78" t="str">
        <f>"COMMENT ON COLUMN "&amp;エンティティ一覧!$O$2&amp;"."&amp;D$8&amp;"."&amp;D23&amp;" IS '"&amp;C23&amp;"';"</f>
        <v>COMMENT ON COLUMN milscm_2023_010.azn_202310_base_merge_mml_lb_item.item_name IS '項目名';</v>
      </c>
    </row>
    <row r="24" spans="1:45" s="25" customFormat="1">
      <c r="A24" s="4"/>
      <c r="B24" s="21">
        <f t="shared" si="2"/>
        <v>12</v>
      </c>
      <c r="C24" s="13" t="s">
        <v>1670</v>
      </c>
      <c r="D24" s="13" t="s">
        <v>1671</v>
      </c>
      <c r="E24" s="7"/>
      <c r="F24" s="7" t="s">
        <v>868</v>
      </c>
      <c r="G24" s="7" t="str">
        <f t="shared" si="3"/>
        <v>text</v>
      </c>
      <c r="H24" s="58"/>
      <c r="I24" s="23"/>
      <c r="J24" s="24" t="s">
        <v>1706</v>
      </c>
      <c r="M24" s="4"/>
      <c r="N24" s="78"/>
      <c r="O24" s="78"/>
      <c r="P24" s="78" t="str">
        <f t="shared" si="4"/>
        <v>,facility_it_code</v>
      </c>
      <c r="Q24" s="78" t="str">
        <f t="shared" si="0"/>
        <v>TEXT</v>
      </c>
      <c r="R24" s="78" t="str">
        <f t="shared" si="1"/>
        <v/>
      </c>
      <c r="S24" s="78" t="str">
        <f t="shared" si="5"/>
        <v/>
      </c>
      <c r="T24" s="78" t="str">
        <f t="shared" si="6"/>
        <v>-- 施設固有コード</v>
      </c>
      <c r="U24" s="4"/>
      <c r="AA24" s="4"/>
      <c r="AB24" s="4"/>
      <c r="AC24" s="4"/>
      <c r="AD24" s="4"/>
      <c r="AE24" s="4"/>
      <c r="AF24" s="4"/>
      <c r="AG24" s="4"/>
      <c r="AH24" s="4"/>
      <c r="AI24" s="4"/>
      <c r="AJ24" s="78" t="str">
        <f>IF(E24="○",IF(COUNTA(E$13:E24)=1,"",",")&amp;D24,"")</f>
        <v/>
      </c>
      <c r="AK24" s="4"/>
      <c r="AL24" s="4"/>
      <c r="AM24" s="4"/>
      <c r="AN24" s="4"/>
      <c r="AO24" s="4"/>
      <c r="AP24" s="4"/>
      <c r="AQ24" s="4"/>
      <c r="AR24" s="4"/>
      <c r="AS24" s="78" t="str">
        <f>"COMMENT ON COLUMN "&amp;エンティティ一覧!$O$2&amp;"."&amp;D$8&amp;"."&amp;D24&amp;" IS '"&amp;C24&amp;"';"</f>
        <v>COMMENT ON COLUMN milscm_2023_010.azn_202310_base_merge_mml_lb_item.facility_it_code IS '施設固有コード';</v>
      </c>
    </row>
    <row r="25" spans="1:45" s="25" customFormat="1">
      <c r="A25" s="4"/>
      <c r="B25" s="21">
        <f t="shared" si="2"/>
        <v>13</v>
      </c>
      <c r="C25" s="13" t="s">
        <v>1672</v>
      </c>
      <c r="D25" s="13" t="s">
        <v>1673</v>
      </c>
      <c r="E25" s="7"/>
      <c r="F25" s="7" t="s">
        <v>868</v>
      </c>
      <c r="G25" s="7" t="str">
        <f t="shared" si="3"/>
        <v>text</v>
      </c>
      <c r="H25" s="58"/>
      <c r="I25" s="23"/>
      <c r="J25" s="24" t="s">
        <v>1707</v>
      </c>
      <c r="M25" s="4"/>
      <c r="N25" s="78"/>
      <c r="O25" s="78"/>
      <c r="P25" s="78" t="str">
        <f t="shared" si="4"/>
        <v>,facility_it_code_id</v>
      </c>
      <c r="Q25" s="78" t="str">
        <f t="shared" si="0"/>
        <v>TEXT</v>
      </c>
      <c r="R25" s="78" t="str">
        <f t="shared" si="1"/>
        <v/>
      </c>
      <c r="S25" s="78" t="str">
        <f t="shared" si="5"/>
        <v/>
      </c>
      <c r="T25" s="78" t="str">
        <f t="shared" si="6"/>
        <v>-- 施設固有コード体系名</v>
      </c>
      <c r="U25" s="4"/>
      <c r="AA25" s="4"/>
      <c r="AB25" s="4"/>
      <c r="AC25" s="4"/>
      <c r="AD25" s="4"/>
      <c r="AE25" s="4"/>
      <c r="AF25" s="4"/>
      <c r="AG25" s="4"/>
      <c r="AH25" s="4"/>
      <c r="AI25" s="4"/>
      <c r="AJ25" s="78" t="str">
        <f>IF(E25="○",IF(COUNTA(E$13:E25)=1,"",",")&amp;D25,"")</f>
        <v/>
      </c>
      <c r="AK25" s="4"/>
      <c r="AL25" s="4"/>
      <c r="AM25" s="4"/>
      <c r="AN25" s="4"/>
      <c r="AO25" s="4"/>
      <c r="AP25" s="4"/>
      <c r="AQ25" s="4"/>
      <c r="AR25" s="4"/>
      <c r="AS25" s="78" t="str">
        <f>"COMMENT ON COLUMN "&amp;エンティティ一覧!$O$2&amp;"."&amp;D$8&amp;"."&amp;D25&amp;" IS '"&amp;C25&amp;"';"</f>
        <v>COMMENT ON COLUMN milscm_2023_010.azn_202310_base_merge_mml_lb_item.facility_it_code_id IS '施設固有コード体系名';</v>
      </c>
    </row>
    <row r="26" spans="1:45" s="25" customFormat="1">
      <c r="A26" s="4"/>
      <c r="B26" s="21">
        <f t="shared" si="2"/>
        <v>14</v>
      </c>
      <c r="C26" s="13" t="s">
        <v>1674</v>
      </c>
      <c r="D26" s="13" t="s">
        <v>1675</v>
      </c>
      <c r="E26" s="7"/>
      <c r="F26" s="7" t="s">
        <v>868</v>
      </c>
      <c r="G26" s="7" t="str">
        <f t="shared" si="3"/>
        <v>text</v>
      </c>
      <c r="H26" s="58"/>
      <c r="I26" s="23"/>
      <c r="J26" s="24" t="s">
        <v>1708</v>
      </c>
      <c r="M26" s="4"/>
      <c r="N26" s="78"/>
      <c r="O26" s="78"/>
      <c r="P26" s="78" t="str">
        <f t="shared" si="4"/>
        <v>,jlac10_a_code</v>
      </c>
      <c r="Q26" s="78" t="str">
        <f t="shared" si="0"/>
        <v>TEXT</v>
      </c>
      <c r="R26" s="78" t="str">
        <f t="shared" si="1"/>
        <v/>
      </c>
      <c r="S26" s="78" t="str">
        <f t="shared" si="5"/>
        <v/>
      </c>
      <c r="T26" s="78" t="str">
        <f t="shared" si="6"/>
        <v>-- JLAC10の分析物コード</v>
      </c>
      <c r="U26" s="4"/>
      <c r="AA26" s="4"/>
      <c r="AB26" s="4"/>
      <c r="AC26" s="4"/>
      <c r="AD26" s="4"/>
      <c r="AE26" s="4"/>
      <c r="AF26" s="4"/>
      <c r="AG26" s="4"/>
      <c r="AH26" s="4"/>
      <c r="AI26" s="4"/>
      <c r="AJ26" s="78" t="str">
        <f>IF(E26="○",IF(COUNTA(E$13:E26)=1,"",",")&amp;D26,"")</f>
        <v/>
      </c>
      <c r="AK26" s="4"/>
      <c r="AL26" s="4"/>
      <c r="AM26" s="4"/>
      <c r="AN26" s="4"/>
      <c r="AO26" s="4"/>
      <c r="AP26" s="4"/>
      <c r="AQ26" s="4"/>
      <c r="AR26" s="4"/>
      <c r="AS26" s="78" t="str">
        <f>"COMMENT ON COLUMN "&amp;エンティティ一覧!$O$2&amp;"."&amp;D$8&amp;"."&amp;D26&amp;" IS '"&amp;C26&amp;"';"</f>
        <v>COMMENT ON COLUMN milscm_2023_010.azn_202310_base_merge_mml_lb_item.jlac10_a_code IS 'JLAC10の分析物コード';</v>
      </c>
    </row>
    <row r="27" spans="1:45" s="25" customFormat="1">
      <c r="A27" s="4"/>
      <c r="B27" s="21">
        <f t="shared" si="2"/>
        <v>15</v>
      </c>
      <c r="C27" s="13" t="s">
        <v>1676</v>
      </c>
      <c r="D27" s="13" t="s">
        <v>1677</v>
      </c>
      <c r="E27" s="7"/>
      <c r="F27" s="7" t="s">
        <v>868</v>
      </c>
      <c r="G27" s="7" t="str">
        <f t="shared" si="3"/>
        <v>text</v>
      </c>
      <c r="H27" s="58"/>
      <c r="I27" s="23"/>
      <c r="J27" s="24" t="s">
        <v>1709</v>
      </c>
      <c r="M27" s="4"/>
      <c r="N27" s="78"/>
      <c r="O27" s="78"/>
      <c r="P27" s="78" t="str">
        <f t="shared" si="4"/>
        <v>,jlac10_i_code</v>
      </c>
      <c r="Q27" s="78" t="str">
        <f t="shared" si="0"/>
        <v>TEXT</v>
      </c>
      <c r="R27" s="78" t="str">
        <f t="shared" si="1"/>
        <v/>
      </c>
      <c r="S27" s="78" t="str">
        <f t="shared" si="5"/>
        <v/>
      </c>
      <c r="T27" s="78" t="str">
        <f t="shared" si="6"/>
        <v>-- JLAC10の識別コード</v>
      </c>
      <c r="U27" s="4"/>
      <c r="AA27" s="4"/>
      <c r="AB27" s="4"/>
      <c r="AC27" s="4"/>
      <c r="AD27" s="4"/>
      <c r="AE27" s="4"/>
      <c r="AF27" s="4"/>
      <c r="AG27" s="4"/>
      <c r="AH27" s="4"/>
      <c r="AI27" s="4"/>
      <c r="AJ27" s="78" t="str">
        <f>IF(E27="○",IF(COUNTA(E$13:E27)=1,"",",")&amp;D27,"")</f>
        <v/>
      </c>
      <c r="AK27" s="4"/>
      <c r="AL27" s="4"/>
      <c r="AM27" s="4"/>
      <c r="AN27" s="4"/>
      <c r="AO27" s="4"/>
      <c r="AP27" s="4"/>
      <c r="AQ27" s="4"/>
      <c r="AR27" s="4"/>
      <c r="AS27" s="78" t="str">
        <f>"COMMENT ON COLUMN "&amp;エンティティ一覧!$O$2&amp;"."&amp;D$8&amp;"."&amp;D27&amp;" IS '"&amp;C27&amp;"';"</f>
        <v>COMMENT ON COLUMN milscm_2023_010.azn_202310_base_merge_mml_lb_item.jlac10_i_code IS 'JLAC10の識別コード';</v>
      </c>
    </row>
    <row r="28" spans="1:45" s="25" customFormat="1">
      <c r="A28" s="4"/>
      <c r="B28" s="21">
        <f t="shared" si="2"/>
        <v>16</v>
      </c>
      <c r="C28" s="13" t="s">
        <v>1678</v>
      </c>
      <c r="D28" s="13" t="s">
        <v>1679</v>
      </c>
      <c r="E28" s="7"/>
      <c r="F28" s="7" t="s">
        <v>868</v>
      </c>
      <c r="G28" s="7" t="str">
        <f t="shared" si="3"/>
        <v>text</v>
      </c>
      <c r="H28" s="58"/>
      <c r="I28" s="23"/>
      <c r="J28" s="24" t="s">
        <v>1710</v>
      </c>
      <c r="M28" s="4"/>
      <c r="N28" s="78"/>
      <c r="O28" s="78"/>
      <c r="P28" s="78" t="str">
        <f t="shared" si="4"/>
        <v>,jlac10_s_code</v>
      </c>
      <c r="Q28" s="78" t="str">
        <f t="shared" si="0"/>
        <v>TEXT</v>
      </c>
      <c r="R28" s="78" t="str">
        <f t="shared" si="1"/>
        <v/>
      </c>
      <c r="S28" s="78" t="str">
        <f t="shared" si="5"/>
        <v/>
      </c>
      <c r="T28" s="78" t="str">
        <f t="shared" si="6"/>
        <v>-- JLAC10の材料コード</v>
      </c>
      <c r="U28" s="4"/>
      <c r="AA28" s="4"/>
      <c r="AB28" s="4"/>
      <c r="AC28" s="4"/>
      <c r="AD28" s="4"/>
      <c r="AE28" s="4"/>
      <c r="AF28" s="4"/>
      <c r="AG28" s="4"/>
      <c r="AH28" s="4"/>
      <c r="AI28" s="4"/>
      <c r="AJ28" s="78" t="str">
        <f>IF(E28="○",IF(COUNTA(E$13:E28)=1,"",",")&amp;D28,"")</f>
        <v/>
      </c>
      <c r="AK28" s="4"/>
      <c r="AL28" s="4"/>
      <c r="AM28" s="4"/>
      <c r="AN28" s="4"/>
      <c r="AO28" s="4"/>
      <c r="AP28" s="4"/>
      <c r="AQ28" s="4"/>
      <c r="AR28" s="4"/>
      <c r="AS28" s="78" t="str">
        <f>"COMMENT ON COLUMN "&amp;エンティティ一覧!$O$2&amp;"."&amp;D$8&amp;"."&amp;D28&amp;" IS '"&amp;C28&amp;"';"</f>
        <v>COMMENT ON COLUMN milscm_2023_010.azn_202310_base_merge_mml_lb_item.jlac10_s_code IS 'JLAC10の材料コード';</v>
      </c>
    </row>
    <row r="29" spans="1:45" s="25" customFormat="1">
      <c r="A29" s="4"/>
      <c r="B29" s="21">
        <f t="shared" si="2"/>
        <v>17</v>
      </c>
      <c r="C29" s="13" t="s">
        <v>1680</v>
      </c>
      <c r="D29" s="13" t="s">
        <v>1681</v>
      </c>
      <c r="E29" s="7"/>
      <c r="F29" s="7" t="s">
        <v>868</v>
      </c>
      <c r="G29" s="7" t="str">
        <f t="shared" si="3"/>
        <v>text</v>
      </c>
      <c r="H29" s="58"/>
      <c r="I29" s="23"/>
      <c r="J29" s="24" t="s">
        <v>1711</v>
      </c>
      <c r="M29" s="4"/>
      <c r="N29" s="78"/>
      <c r="O29" s="78"/>
      <c r="P29" s="78" t="str">
        <f t="shared" si="4"/>
        <v>,jlac10_m_code</v>
      </c>
      <c r="Q29" s="78" t="str">
        <f t="shared" si="0"/>
        <v>TEXT</v>
      </c>
      <c r="R29" s="78" t="str">
        <f t="shared" si="1"/>
        <v/>
      </c>
      <c r="S29" s="78" t="str">
        <f t="shared" si="5"/>
        <v/>
      </c>
      <c r="T29" s="78" t="str">
        <f t="shared" si="6"/>
        <v>-- JLAC10の測定法コード</v>
      </c>
      <c r="U29" s="4"/>
      <c r="AA29" s="4"/>
      <c r="AB29" s="4"/>
      <c r="AC29" s="4"/>
      <c r="AD29" s="4"/>
      <c r="AE29" s="4"/>
      <c r="AF29" s="4"/>
      <c r="AG29" s="4"/>
      <c r="AH29" s="4"/>
      <c r="AI29" s="4"/>
      <c r="AJ29" s="78" t="str">
        <f>IF(E29="○",IF(COUNTA(E$13:E29)=1,"",",")&amp;D29,"")</f>
        <v/>
      </c>
      <c r="AK29" s="4"/>
      <c r="AL29" s="4"/>
      <c r="AM29" s="4"/>
      <c r="AN29" s="4"/>
      <c r="AO29" s="4"/>
      <c r="AP29" s="4"/>
      <c r="AQ29" s="4"/>
      <c r="AR29" s="4"/>
      <c r="AS29" s="78" t="str">
        <f>"COMMENT ON COLUMN "&amp;エンティティ一覧!$O$2&amp;"."&amp;D$8&amp;"."&amp;D29&amp;" IS '"&amp;C29&amp;"';"</f>
        <v>COMMENT ON COLUMN milscm_2023_010.azn_202310_base_merge_mml_lb_item.jlac10_m_code IS 'JLAC10の測定法コード';</v>
      </c>
    </row>
    <row r="30" spans="1:45" s="25" customFormat="1">
      <c r="A30" s="4"/>
      <c r="B30" s="21">
        <f t="shared" si="2"/>
        <v>18</v>
      </c>
      <c r="C30" s="13" t="s">
        <v>1682</v>
      </c>
      <c r="D30" s="13" t="s">
        <v>1683</v>
      </c>
      <c r="E30" s="7"/>
      <c r="F30" s="7" t="s">
        <v>868</v>
      </c>
      <c r="G30" s="7" t="str">
        <f t="shared" si="3"/>
        <v>text</v>
      </c>
      <c r="H30" s="58"/>
      <c r="I30" s="23"/>
      <c r="J30" s="24" t="s">
        <v>1712</v>
      </c>
      <c r="M30" s="4"/>
      <c r="N30" s="78"/>
      <c r="O30" s="78"/>
      <c r="P30" s="78" t="str">
        <f t="shared" si="4"/>
        <v>,jlac10_r_code</v>
      </c>
      <c r="Q30" s="78" t="str">
        <f t="shared" si="0"/>
        <v>TEXT</v>
      </c>
      <c r="R30" s="78" t="str">
        <f t="shared" si="1"/>
        <v/>
      </c>
      <c r="S30" s="78" t="str">
        <f t="shared" si="5"/>
        <v/>
      </c>
      <c r="T30" s="78" t="str">
        <f t="shared" si="6"/>
        <v>-- JLAC10の結果識別コード</v>
      </c>
      <c r="U30" s="4"/>
      <c r="AA30" s="4"/>
      <c r="AB30" s="4"/>
      <c r="AC30" s="4"/>
      <c r="AD30" s="4"/>
      <c r="AE30" s="4"/>
      <c r="AF30" s="4"/>
      <c r="AG30" s="4"/>
      <c r="AH30" s="4"/>
      <c r="AI30" s="4"/>
      <c r="AJ30" s="78" t="str">
        <f>IF(E30="○",IF(COUNTA(E$13:E30)=1,"",",")&amp;D30,"")</f>
        <v/>
      </c>
      <c r="AK30" s="4"/>
      <c r="AL30" s="4"/>
      <c r="AM30" s="4"/>
      <c r="AN30" s="4"/>
      <c r="AO30" s="4"/>
      <c r="AP30" s="4"/>
      <c r="AQ30" s="4"/>
      <c r="AR30" s="4"/>
      <c r="AS30" s="78" t="str">
        <f>"COMMENT ON COLUMN "&amp;エンティティ一覧!$O$2&amp;"."&amp;D$8&amp;"."&amp;D30&amp;" IS '"&amp;C30&amp;"';"</f>
        <v>COMMENT ON COLUMN milscm_2023_010.azn_202310_base_merge_mml_lb_item.jlac10_r_code IS 'JLAC10の結果識別コード';</v>
      </c>
    </row>
    <row r="31" spans="1:45" s="25" customFormat="1">
      <c r="A31" s="4"/>
      <c r="B31" s="21">
        <f t="shared" si="2"/>
        <v>19</v>
      </c>
      <c r="C31" s="13" t="s">
        <v>1684</v>
      </c>
      <c r="D31" s="13" t="s">
        <v>1685</v>
      </c>
      <c r="E31" s="7"/>
      <c r="F31" s="7" t="s">
        <v>868</v>
      </c>
      <c r="G31" s="7" t="str">
        <f t="shared" si="3"/>
        <v>text</v>
      </c>
      <c r="H31" s="58"/>
      <c r="I31" s="23"/>
      <c r="J31" s="24" t="s">
        <v>1713</v>
      </c>
      <c r="M31" s="4"/>
      <c r="N31" s="78"/>
      <c r="O31" s="78"/>
      <c r="P31" s="78" t="str">
        <f t="shared" si="4"/>
        <v>,value</v>
      </c>
      <c r="Q31" s="78" t="str">
        <f t="shared" si="0"/>
        <v>TEXT</v>
      </c>
      <c r="R31" s="78" t="str">
        <f t="shared" si="1"/>
        <v/>
      </c>
      <c r="S31" s="78" t="str">
        <f t="shared" si="5"/>
        <v/>
      </c>
      <c r="T31" s="78" t="str">
        <f t="shared" si="6"/>
        <v>-- 検査結果値</v>
      </c>
      <c r="U31" s="4"/>
      <c r="AA31" s="4"/>
      <c r="AB31" s="4"/>
      <c r="AC31" s="4"/>
      <c r="AD31" s="4"/>
      <c r="AE31" s="4"/>
      <c r="AF31" s="4"/>
      <c r="AG31" s="4"/>
      <c r="AH31" s="4"/>
      <c r="AI31" s="4"/>
      <c r="AJ31" s="78" t="str">
        <f>IF(E31="○",IF(COUNTA(E$13:E31)=1,"",",")&amp;D31,"")</f>
        <v/>
      </c>
      <c r="AK31" s="4"/>
      <c r="AL31" s="4"/>
      <c r="AM31" s="4"/>
      <c r="AN31" s="4"/>
      <c r="AO31" s="4"/>
      <c r="AP31" s="4"/>
      <c r="AQ31" s="4"/>
      <c r="AR31" s="4"/>
      <c r="AS31" s="78" t="str">
        <f>"COMMENT ON COLUMN "&amp;エンティティ一覧!$O$2&amp;"."&amp;D$8&amp;"."&amp;D31&amp;" IS '"&amp;C31&amp;"';"</f>
        <v>COMMENT ON COLUMN milscm_2023_010.azn_202310_base_merge_mml_lb_item.value IS '検査結果値';</v>
      </c>
    </row>
    <row r="32" spans="1:45" s="25" customFormat="1">
      <c r="A32" s="4"/>
      <c r="B32" s="21">
        <f t="shared" si="2"/>
        <v>20</v>
      </c>
      <c r="C32" s="13" t="s">
        <v>1686</v>
      </c>
      <c r="D32" s="13" t="s">
        <v>1687</v>
      </c>
      <c r="E32" s="7"/>
      <c r="F32" s="7" t="s">
        <v>868</v>
      </c>
      <c r="G32" s="7" t="str">
        <f t="shared" si="3"/>
        <v>text</v>
      </c>
      <c r="H32" s="58"/>
      <c r="I32" s="23"/>
      <c r="J32" s="24" t="s">
        <v>1714</v>
      </c>
      <c r="M32" s="4"/>
      <c r="N32" s="78"/>
      <c r="O32" s="78"/>
      <c r="P32" s="78" t="str">
        <f t="shared" si="4"/>
        <v>,num_value</v>
      </c>
      <c r="Q32" s="78" t="str">
        <f t="shared" si="0"/>
        <v>TEXT</v>
      </c>
      <c r="R32" s="78" t="str">
        <f t="shared" si="1"/>
        <v/>
      </c>
      <c r="S32" s="78" t="str">
        <f t="shared" si="5"/>
        <v/>
      </c>
      <c r="T32" s="78" t="str">
        <f t="shared" si="6"/>
        <v>-- 数値結果</v>
      </c>
      <c r="U32" s="4"/>
      <c r="AA32" s="4"/>
      <c r="AB32" s="4"/>
      <c r="AC32" s="4"/>
      <c r="AD32" s="4"/>
      <c r="AE32" s="4"/>
      <c r="AF32" s="4"/>
      <c r="AG32" s="4"/>
      <c r="AH32" s="4"/>
      <c r="AI32" s="4"/>
      <c r="AJ32" s="78" t="str">
        <f>IF(E32="○",IF(COUNTA(E$13:E32)=1,"",",")&amp;D32,"")</f>
        <v/>
      </c>
      <c r="AK32" s="4"/>
      <c r="AL32" s="4"/>
      <c r="AM32" s="4"/>
      <c r="AN32" s="4"/>
      <c r="AO32" s="4"/>
      <c r="AP32" s="4"/>
      <c r="AQ32" s="4"/>
      <c r="AR32" s="4"/>
      <c r="AS32" s="78" t="str">
        <f>"COMMENT ON COLUMN "&amp;エンティティ一覧!$O$2&amp;"."&amp;D$8&amp;"."&amp;D32&amp;" IS '"&amp;C32&amp;"';"</f>
        <v>COMMENT ON COLUMN milscm_2023_010.azn_202310_base_merge_mml_lb_item.num_value IS '数値結果';</v>
      </c>
    </row>
    <row r="33" spans="1:52" s="25" customFormat="1">
      <c r="A33" s="4"/>
      <c r="B33" s="21">
        <f t="shared" si="2"/>
        <v>21</v>
      </c>
      <c r="C33" s="13" t="s">
        <v>1688</v>
      </c>
      <c r="D33" s="13" t="s">
        <v>1689</v>
      </c>
      <c r="E33" s="7"/>
      <c r="F33" s="7" t="s">
        <v>868</v>
      </c>
      <c r="G33" s="7" t="str">
        <f t="shared" si="3"/>
        <v>text</v>
      </c>
      <c r="H33" s="58"/>
      <c r="I33" s="23"/>
      <c r="J33" s="24" t="s">
        <v>1715</v>
      </c>
      <c r="M33" s="4"/>
      <c r="N33" s="78"/>
      <c r="O33" s="78"/>
      <c r="P33" s="78" t="str">
        <f t="shared" si="4"/>
        <v>,up_value</v>
      </c>
      <c r="Q33" s="78" t="str">
        <f t="shared" si="0"/>
        <v>TEXT</v>
      </c>
      <c r="R33" s="78" t="str">
        <f t="shared" si="1"/>
        <v/>
      </c>
      <c r="S33" s="78" t="str">
        <f t="shared" si="5"/>
        <v/>
      </c>
      <c r="T33" s="78" t="str">
        <f t="shared" si="6"/>
        <v>-- 上限値</v>
      </c>
      <c r="U33" s="4"/>
      <c r="AA33" s="4"/>
      <c r="AB33" s="4"/>
      <c r="AC33" s="4"/>
      <c r="AD33" s="4"/>
      <c r="AE33" s="4"/>
      <c r="AF33" s="4"/>
      <c r="AG33" s="4"/>
      <c r="AH33" s="4"/>
      <c r="AI33" s="4"/>
      <c r="AJ33" s="78" t="str">
        <f>IF(E33="○",IF(COUNTA(E$13:E33)=1,"",",")&amp;D33,"")</f>
        <v/>
      </c>
      <c r="AK33" s="4"/>
      <c r="AL33" s="4"/>
      <c r="AM33" s="4"/>
      <c r="AN33" s="4"/>
      <c r="AO33" s="4"/>
      <c r="AP33" s="4"/>
      <c r="AQ33" s="4"/>
      <c r="AR33" s="4"/>
      <c r="AS33" s="78" t="str">
        <f>"COMMENT ON COLUMN "&amp;エンティティ一覧!$O$2&amp;"."&amp;D$8&amp;"."&amp;D33&amp;" IS '"&amp;C33&amp;"';"</f>
        <v>COMMENT ON COLUMN milscm_2023_010.azn_202310_base_merge_mml_lb_item.up_value IS '上限値';</v>
      </c>
    </row>
    <row r="34" spans="1:52" s="25" customFormat="1">
      <c r="A34" s="4"/>
      <c r="B34" s="21">
        <f t="shared" si="2"/>
        <v>22</v>
      </c>
      <c r="C34" s="13" t="s">
        <v>1690</v>
      </c>
      <c r="D34" s="13" t="s">
        <v>1691</v>
      </c>
      <c r="E34" s="7"/>
      <c r="F34" s="7" t="s">
        <v>868</v>
      </c>
      <c r="G34" s="7" t="str">
        <f t="shared" si="3"/>
        <v>text</v>
      </c>
      <c r="H34" s="58"/>
      <c r="I34" s="23"/>
      <c r="J34" s="24" t="s">
        <v>1716</v>
      </c>
      <c r="M34" s="4"/>
      <c r="N34" s="78"/>
      <c r="O34" s="78"/>
      <c r="P34" s="78" t="str">
        <f t="shared" si="4"/>
        <v>,low_value</v>
      </c>
      <c r="Q34" s="78" t="str">
        <f t="shared" si="0"/>
        <v>TEXT</v>
      </c>
      <c r="R34" s="78" t="str">
        <f t="shared" si="1"/>
        <v/>
      </c>
      <c r="S34" s="78" t="str">
        <f t="shared" si="5"/>
        <v/>
      </c>
      <c r="T34" s="78" t="str">
        <f t="shared" si="6"/>
        <v>-- 下限値</v>
      </c>
      <c r="U34" s="4"/>
      <c r="AA34" s="4"/>
      <c r="AB34" s="4"/>
      <c r="AC34" s="4"/>
      <c r="AD34" s="4"/>
      <c r="AE34" s="4"/>
      <c r="AF34" s="4"/>
      <c r="AG34" s="4"/>
      <c r="AH34" s="4"/>
      <c r="AI34" s="4"/>
      <c r="AJ34" s="78" t="str">
        <f>IF(E34="○",IF(COUNTA(E$13:E34)=1,"",",")&amp;D34,"")</f>
        <v/>
      </c>
      <c r="AK34" s="4"/>
      <c r="AL34" s="4"/>
      <c r="AM34" s="4"/>
      <c r="AN34" s="4"/>
      <c r="AO34" s="4"/>
      <c r="AP34" s="4"/>
      <c r="AQ34" s="4"/>
      <c r="AR34" s="4"/>
      <c r="AS34" s="78" t="str">
        <f>"COMMENT ON COLUMN "&amp;エンティティ一覧!$O$2&amp;"."&amp;D$8&amp;"."&amp;D34&amp;" IS '"&amp;C34&amp;"';"</f>
        <v>COMMENT ON COLUMN milscm_2023_010.azn_202310_base_merge_mml_lb_item.low_value IS '下限値';</v>
      </c>
    </row>
    <row r="35" spans="1:52" s="25" customFormat="1">
      <c r="A35" s="4"/>
      <c r="B35" s="21">
        <f t="shared" si="2"/>
        <v>23</v>
      </c>
      <c r="C35" s="13" t="s">
        <v>1692</v>
      </c>
      <c r="D35" s="13" t="s">
        <v>1693</v>
      </c>
      <c r="E35" s="7"/>
      <c r="F35" s="7" t="s">
        <v>868</v>
      </c>
      <c r="G35" s="7" t="str">
        <f t="shared" si="3"/>
        <v>text</v>
      </c>
      <c r="H35" s="58"/>
      <c r="I35" s="23"/>
      <c r="J35" s="24" t="s">
        <v>1717</v>
      </c>
      <c r="M35" s="4"/>
      <c r="N35" s="78"/>
      <c r="O35" s="78"/>
      <c r="P35" s="78" t="str">
        <f t="shared" si="4"/>
        <v>,normal_value</v>
      </c>
      <c r="Q35" s="78" t="str">
        <f t="shared" si="0"/>
        <v>TEXT</v>
      </c>
      <c r="R35" s="78" t="str">
        <f t="shared" si="1"/>
        <v/>
      </c>
      <c r="S35" s="78" t="str">
        <f t="shared" si="5"/>
        <v/>
      </c>
      <c r="T35" s="78" t="str">
        <f t="shared" si="6"/>
        <v>-- 文字列で示す基準値</v>
      </c>
      <c r="U35" s="4"/>
      <c r="AA35" s="4"/>
      <c r="AB35" s="4"/>
      <c r="AC35" s="4"/>
      <c r="AD35" s="4"/>
      <c r="AE35" s="4"/>
      <c r="AF35" s="4"/>
      <c r="AG35" s="4"/>
      <c r="AH35" s="4"/>
      <c r="AI35" s="4"/>
      <c r="AJ35" s="78" t="str">
        <f>IF(E35="○",IF(COUNTA(E$13:E35)=1,"",",")&amp;D35,"")</f>
        <v/>
      </c>
      <c r="AK35" s="4"/>
      <c r="AL35" s="4"/>
      <c r="AM35" s="4"/>
      <c r="AN35" s="4"/>
      <c r="AO35" s="4"/>
      <c r="AP35" s="4"/>
      <c r="AQ35" s="4"/>
      <c r="AR35" s="4"/>
      <c r="AS35" s="78" t="str">
        <f>"COMMENT ON COLUMN "&amp;エンティティ一覧!$O$2&amp;"."&amp;D$8&amp;"."&amp;D35&amp;" IS '"&amp;C35&amp;"';"</f>
        <v>COMMENT ON COLUMN milscm_2023_010.azn_202310_base_merge_mml_lb_item.normal_value IS '文字列で示す基準値';</v>
      </c>
    </row>
    <row r="36" spans="1:52" s="25" customFormat="1" ht="56.25">
      <c r="A36" s="4"/>
      <c r="B36" s="21">
        <f t="shared" si="2"/>
        <v>24</v>
      </c>
      <c r="C36" s="13" t="s">
        <v>1694</v>
      </c>
      <c r="D36" s="13" t="s">
        <v>1695</v>
      </c>
      <c r="E36" s="7"/>
      <c r="F36" s="7" t="s">
        <v>868</v>
      </c>
      <c r="G36" s="7" t="str">
        <f t="shared" si="3"/>
        <v>text</v>
      </c>
      <c r="H36" s="58"/>
      <c r="I36" s="23"/>
      <c r="J36" s="24" t="s">
        <v>1718</v>
      </c>
      <c r="M36" s="4"/>
      <c r="N36" s="78"/>
      <c r="O36" s="78"/>
      <c r="P36" s="78" t="str">
        <f t="shared" si="4"/>
        <v>,out_flag</v>
      </c>
      <c r="Q36" s="78" t="str">
        <f t="shared" si="0"/>
        <v>TEXT</v>
      </c>
      <c r="R36" s="78" t="str">
        <f t="shared" si="1"/>
        <v/>
      </c>
      <c r="S36" s="78" t="str">
        <f t="shared" si="5"/>
        <v/>
      </c>
      <c r="T36" s="78" t="str">
        <f t="shared" si="6"/>
        <v>-- 異常値フラグ</v>
      </c>
      <c r="U36" s="4"/>
      <c r="AA36" s="4"/>
      <c r="AB36" s="4"/>
      <c r="AC36" s="4"/>
      <c r="AD36" s="4"/>
      <c r="AE36" s="4"/>
      <c r="AF36" s="4"/>
      <c r="AG36" s="4"/>
      <c r="AH36" s="4"/>
      <c r="AI36" s="4"/>
      <c r="AJ36" s="78" t="str">
        <f>IF(E36="○",IF(COUNTA(E$13:E36)=1,"",",")&amp;D36,"")</f>
        <v/>
      </c>
      <c r="AK36" s="4"/>
      <c r="AL36" s="4"/>
      <c r="AM36" s="4"/>
      <c r="AN36" s="4"/>
      <c r="AO36" s="4"/>
      <c r="AP36" s="4"/>
      <c r="AQ36" s="4"/>
      <c r="AR36" s="4"/>
      <c r="AS36" s="78" t="str">
        <f>"COMMENT ON COLUMN "&amp;エンティティ一覧!$O$2&amp;"."&amp;D$8&amp;"."&amp;D36&amp;" IS '"&amp;C36&amp;"';"</f>
        <v>COMMENT ON COLUMN milscm_2023_010.azn_202310_base_merge_mml_lb_item.out_flag IS '異常値フラグ';</v>
      </c>
    </row>
    <row r="37" spans="1:52" s="25" customFormat="1">
      <c r="A37" s="4"/>
      <c r="B37" s="21">
        <f t="shared" si="2"/>
        <v>25</v>
      </c>
      <c r="C37" s="13" t="s">
        <v>1696</v>
      </c>
      <c r="D37" s="13" t="s">
        <v>277</v>
      </c>
      <c r="E37" s="7"/>
      <c r="F37" s="7" t="s">
        <v>868</v>
      </c>
      <c r="G37" s="7" t="str">
        <f t="shared" si="3"/>
        <v>text</v>
      </c>
      <c r="H37" s="58"/>
      <c r="I37" s="23"/>
      <c r="J37" s="24" t="s">
        <v>1719</v>
      </c>
      <c r="M37" s="4"/>
      <c r="N37" s="78"/>
      <c r="O37" s="78"/>
      <c r="P37" s="78" t="str">
        <f t="shared" si="4"/>
        <v>,unit</v>
      </c>
      <c r="Q37" s="78" t="str">
        <f t="shared" si="0"/>
        <v>TEXT</v>
      </c>
      <c r="R37" s="78" t="str">
        <f t="shared" si="1"/>
        <v/>
      </c>
      <c r="S37" s="78" t="str">
        <f t="shared" si="5"/>
        <v/>
      </c>
      <c r="T37" s="78" t="str">
        <f t="shared" si="6"/>
        <v>-- 単位</v>
      </c>
      <c r="U37" s="4"/>
      <c r="AA37" s="4"/>
      <c r="AB37" s="4"/>
      <c r="AC37" s="4"/>
      <c r="AD37" s="4"/>
      <c r="AE37" s="4"/>
      <c r="AF37" s="4"/>
      <c r="AG37" s="4"/>
      <c r="AH37" s="4"/>
      <c r="AI37" s="4"/>
      <c r="AJ37" s="78" t="str">
        <f>IF(E37="○",IF(COUNTA(E$13:E37)=1,"",",")&amp;D37,"")</f>
        <v/>
      </c>
      <c r="AK37" s="4"/>
      <c r="AL37" s="4"/>
      <c r="AM37" s="4"/>
      <c r="AN37" s="4"/>
      <c r="AO37" s="4"/>
      <c r="AP37" s="4"/>
      <c r="AQ37" s="4"/>
      <c r="AR37" s="4"/>
      <c r="AS37" s="78" t="str">
        <f>"COMMENT ON COLUMN "&amp;エンティティ一覧!$O$2&amp;"."&amp;D$8&amp;"."&amp;D37&amp;" IS '"&amp;C37&amp;"';"</f>
        <v>COMMENT ON COLUMN milscm_2023_010.azn_202310_base_merge_mml_lb_item.unit IS '単位';</v>
      </c>
    </row>
    <row r="38" spans="1:52" s="25" customFormat="1" ht="37.5">
      <c r="A38" s="4"/>
      <c r="B38" s="21">
        <f t="shared" si="2"/>
        <v>26</v>
      </c>
      <c r="C38" s="13" t="s">
        <v>1697</v>
      </c>
      <c r="D38" s="13" t="s">
        <v>1698</v>
      </c>
      <c r="E38" s="7"/>
      <c r="F38" s="7" t="s">
        <v>868</v>
      </c>
      <c r="G38" s="7" t="str">
        <f t="shared" si="3"/>
        <v>text</v>
      </c>
      <c r="H38" s="58"/>
      <c r="I38" s="23"/>
      <c r="J38" s="24" t="s">
        <v>1720</v>
      </c>
      <c r="M38" s="4"/>
      <c r="N38" s="78"/>
      <c r="O38" s="78"/>
      <c r="P38" s="78" t="str">
        <f t="shared" si="4"/>
        <v>,unit_code</v>
      </c>
      <c r="Q38" s="78" t="str">
        <f t="shared" si="0"/>
        <v>TEXT</v>
      </c>
      <c r="R38" s="78" t="str">
        <f t="shared" si="1"/>
        <v/>
      </c>
      <c r="S38" s="78" t="str">
        <f t="shared" si="5"/>
        <v/>
      </c>
      <c r="T38" s="78" t="str">
        <f t="shared" si="6"/>
        <v>-- 単位コード</v>
      </c>
      <c r="U38" s="4"/>
      <c r="AA38" s="4"/>
      <c r="AB38" s="4"/>
      <c r="AC38" s="4"/>
      <c r="AD38" s="4"/>
      <c r="AE38" s="4"/>
      <c r="AF38" s="4"/>
      <c r="AG38" s="4"/>
      <c r="AH38" s="4"/>
      <c r="AI38" s="4"/>
      <c r="AJ38" s="78" t="str">
        <f>IF(E38="○",IF(COUNTA(E$13:E38)=1,"",",")&amp;D38,"")</f>
        <v/>
      </c>
      <c r="AK38" s="4"/>
      <c r="AL38" s="4"/>
      <c r="AM38" s="4"/>
      <c r="AN38" s="4"/>
      <c r="AO38" s="4"/>
      <c r="AP38" s="4"/>
      <c r="AQ38" s="4"/>
      <c r="AR38" s="4"/>
      <c r="AS38" s="78" t="str">
        <f>"COMMENT ON COLUMN "&amp;エンティティ一覧!$O$2&amp;"."&amp;D$8&amp;"."&amp;D38&amp;" IS '"&amp;C38&amp;"';"</f>
        <v>COMMENT ON COLUMN milscm_2023_010.azn_202310_base_merge_mml_lb_item.unit_code IS '単位コード';</v>
      </c>
    </row>
    <row r="39" spans="1:52" s="25" customFormat="1" ht="37.5">
      <c r="A39" s="4"/>
      <c r="B39" s="21">
        <f t="shared" si="2"/>
        <v>27</v>
      </c>
      <c r="C39" s="13" t="s">
        <v>1699</v>
      </c>
      <c r="D39" s="13" t="s">
        <v>1700</v>
      </c>
      <c r="E39" s="7"/>
      <c r="F39" s="7" t="s">
        <v>868</v>
      </c>
      <c r="G39" s="7" t="str">
        <f t="shared" si="3"/>
        <v>text</v>
      </c>
      <c r="H39" s="58"/>
      <c r="I39" s="23"/>
      <c r="J39" s="24" t="s">
        <v>1721</v>
      </c>
      <c r="M39" s="4"/>
      <c r="N39" s="78"/>
      <c r="O39" s="78"/>
      <c r="P39" s="78" t="str">
        <f t="shared" si="4"/>
        <v>,unit_code_id</v>
      </c>
      <c r="Q39" s="78" t="str">
        <f t="shared" si="0"/>
        <v>TEXT</v>
      </c>
      <c r="R39" s="78" t="str">
        <f t="shared" si="1"/>
        <v/>
      </c>
      <c r="S39" s="78" t="str">
        <f t="shared" si="5"/>
        <v/>
      </c>
      <c r="T39" s="78" t="str">
        <f t="shared" si="6"/>
        <v>-- 単位コードID</v>
      </c>
      <c r="U39" s="4"/>
      <c r="AA39" s="4"/>
      <c r="AB39" s="4"/>
      <c r="AC39" s="4"/>
      <c r="AD39" s="4"/>
      <c r="AE39" s="4"/>
      <c r="AF39" s="4"/>
      <c r="AG39" s="4"/>
      <c r="AH39" s="4"/>
      <c r="AI39" s="4"/>
      <c r="AJ39" s="78" t="str">
        <f>IF(E39="○",IF(COUNTA(E$13:E39)=1,"",",")&amp;D39,"")</f>
        <v/>
      </c>
      <c r="AK39" s="4"/>
      <c r="AL39" s="4"/>
      <c r="AM39" s="4"/>
      <c r="AN39" s="4"/>
      <c r="AO39" s="4"/>
      <c r="AP39" s="4"/>
      <c r="AQ39" s="4"/>
      <c r="AR39" s="4"/>
      <c r="AS39" s="78" t="str">
        <f>"COMMENT ON COLUMN "&amp;エンティティ一覧!$O$2&amp;"."&amp;D$8&amp;"."&amp;D39&amp;" IS '"&amp;C39&amp;"';"</f>
        <v>COMMENT ON COLUMN milscm_2023_010.azn_202310_base_merge_mml_lb_item.unit_code_id IS '単位コードID';</v>
      </c>
    </row>
    <row r="40" spans="1:52" s="25" customFormat="1" ht="19.5" thickBot="1">
      <c r="A40" s="4"/>
      <c r="B40" s="27">
        <f>ROW()-12</f>
        <v>28</v>
      </c>
      <c r="C40" s="57" t="s">
        <v>1701</v>
      </c>
      <c r="D40" s="57" t="s">
        <v>1702</v>
      </c>
      <c r="E40" s="56"/>
      <c r="F40" s="56" t="s">
        <v>868</v>
      </c>
      <c r="G40" s="56" t="str">
        <f t="shared" si="3"/>
        <v>text</v>
      </c>
      <c r="H40" s="59"/>
      <c r="I40" s="60"/>
      <c r="J40" s="64" t="s">
        <v>1722</v>
      </c>
      <c r="N40" s="78"/>
      <c r="O40" s="78"/>
      <c r="P40" s="78" t="str">
        <f t="shared" si="4"/>
        <v>,item_free_comment</v>
      </c>
      <c r="Q40" s="78" t="str">
        <f t="shared" si="0"/>
        <v>TEXT</v>
      </c>
      <c r="R40" s="78" t="str">
        <f t="shared" si="1"/>
        <v/>
      </c>
      <c r="S40" s="78" t="str">
        <f t="shared" si="5"/>
        <v/>
      </c>
      <c r="T40" s="78" t="str">
        <f t="shared" si="6"/>
        <v>-- 項目フリーコメント</v>
      </c>
      <c r="U40" s="4"/>
      <c r="AA40" s="4"/>
      <c r="AB40" s="4"/>
      <c r="AC40" s="4"/>
      <c r="AD40" s="4"/>
      <c r="AE40" s="4"/>
      <c r="AF40" s="4"/>
      <c r="AG40" s="4"/>
      <c r="AH40" s="4"/>
      <c r="AI40" s="4"/>
      <c r="AJ40" s="78" t="str">
        <f>IF(E40="○",IF(COUNTA(E$13:E40)=1,"",",")&amp;D40,"")</f>
        <v/>
      </c>
      <c r="AK40" s="4"/>
      <c r="AL40" s="4"/>
      <c r="AM40" s="4"/>
      <c r="AN40" s="4"/>
      <c r="AO40" s="4"/>
      <c r="AP40" s="4"/>
      <c r="AQ40" s="4"/>
      <c r="AR40" s="4"/>
      <c r="AS40" s="78" t="str">
        <f>"COMMENT ON COLUMN "&amp;エンティティ一覧!$O$2&amp;"."&amp;D$8&amp;"."&amp;D40&amp;" IS '"&amp;C40&amp;"';"</f>
        <v>COMMENT ON COLUMN milscm_2023_010.azn_202310_base_merge_mml_lb_item.item_free_comment IS '項目フリーコメント';</v>
      </c>
    </row>
    <row r="41" spans="1:52">
      <c r="L41" s="25"/>
      <c r="M41" s="25"/>
      <c r="N41" s="78" t="s">
        <v>142</v>
      </c>
      <c r="O41" s="78"/>
      <c r="P41" s="78"/>
      <c r="Q41" s="78"/>
      <c r="R41" s="78"/>
      <c r="S41" s="78"/>
      <c r="T41" s="78"/>
      <c r="V41" s="25"/>
      <c r="W41" s="25"/>
      <c r="X41" s="25"/>
      <c r="Y41" s="25"/>
      <c r="Z41" s="25"/>
      <c r="AJ41" s="78"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8"/>
  <hyperlinks>
    <hyperlink ref="A1" location="エンティティ一覧!A1" display="エンティティ一覧" xr:uid="{00000000-0004-0000-B400-000000000000}"/>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182</vt:i4>
      </vt:variant>
      <vt:variant>
        <vt:lpstr>名前付き一覧</vt:lpstr>
      </vt:variant>
      <vt:variant>
        <vt:i4>1</vt:i4>
      </vt:variant>
    </vt:vector>
  </HeadingPairs>
  <TitlesOfParts>
    <vt:vector size="183" baseType="lpstr">
      <vt:lpstr>Sheet1</vt:lpstr>
      <vt:lpstr>データフロー_backup</vt:lpstr>
      <vt:lpstr>データフロー_enroll</vt:lpstr>
      <vt:lpstr>データフロー_mt</vt:lpstr>
      <vt:lpstr>データフロー_base</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組入れ_対象処方</vt:lpstr>
      <vt:lpstr>組入れ_対象患者</vt:lpstr>
      <vt:lpstr>患者マスタ</vt:lpstr>
      <vt:lpstr>疾患マスタ</vt:lpstr>
      <vt:lpstr>ベース_処方データ</vt:lpstr>
      <vt:lpstr>ベース_診療行為データ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ITTO PC</cp:lastModifiedBy>
  <cp:lastPrinted>2021-04-12T03:33:57Z</cp:lastPrinted>
  <dcterms:created xsi:type="dcterms:W3CDTF">2019-09-24T09:50:00Z</dcterms:created>
  <dcterms:modified xsi:type="dcterms:W3CDTF">2023-10-24T23:40:35Z</dcterms:modified>
</cp:coreProperties>
</file>